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| Southeast LMM Portco per" sheetId="1" r:id="rId4"/>
    <sheet state="visible" name="MAPPING TBLS" sheetId="2" r:id="rId5"/>
    <sheet state="visible" name="IndustrySector_MAPPER" sheetId="3" r:id="rId6"/>
    <sheet state="visible" name="Rev_Mapping Table" sheetId="4" r:id="rId7"/>
    <sheet state="visible" name="RevEmployeeProxies" sheetId="5" r:id="rId8"/>
    <sheet state="visible" name="Master_Mapper" sheetId="6" r:id="rId9"/>
    <sheet state="visible" name="Vert_Mapper" sheetId="7" r:id="rId10"/>
    <sheet state="visible" name="Summary Statistics" sheetId="8" r:id="rId11"/>
    <sheet state="visible" name="Capital_Sectors" sheetId="9" r:id="rId12"/>
    <sheet state="visible" name="Pivot Table 1" sheetId="10" r:id="rId13"/>
    <sheet state="visible" name="Copy of updated_sheet2_with_PE" sheetId="11" r:id="rId14"/>
  </sheets>
  <definedNames>
    <definedName hidden="1" localSheetId="0" name="_xlnm._FilterDatabase">'2026 | Southeast LMM Portco per'!$A$2:$M$609</definedName>
  </definedNames>
  <calcPr/>
  <pivotCaches>
    <pivotCache cacheId="0" r:id="rId15"/>
  </pivotCaches>
</workbook>
</file>

<file path=xl/sharedStrings.xml><?xml version="1.0" encoding="utf-8"?>
<sst xmlns="http://schemas.openxmlformats.org/spreadsheetml/2006/main" count="10556" uniqueCount="1101">
  <si>
    <t xml:space="preserve"> </t>
  </si>
  <si>
    <r>
      <rPr>
        <rFont val="Roboto"/>
        <color theme="1"/>
        <sz val="26.0"/>
      </rPr>
      <t>Shadow</t>
    </r>
    <r>
      <rPr>
        <rFont val="Roboto"/>
        <i/>
        <color rgb="FFFF9900"/>
        <sz val="26.0"/>
      </rPr>
      <t>Hornet</t>
    </r>
    <r>
      <rPr>
        <rFont val="Roboto"/>
        <color theme="1"/>
        <sz val="26.0"/>
      </rPr>
      <t xml:space="preserve"> Capital Advisors | </t>
    </r>
    <r>
      <rPr>
        <rFont val="Roboto"/>
        <color rgb="FF666666"/>
        <sz val="26.0"/>
      </rPr>
      <t>Southeast LMM PE Firm Portfolio Holdings</t>
    </r>
  </si>
  <si>
    <t xml:space="preserve">Interest </t>
  </si>
  <si>
    <t>Company</t>
  </si>
  <si>
    <t>Vertical</t>
  </si>
  <si>
    <t>Actual Sector_Cluster</t>
  </si>
  <si>
    <t>AI Predicted Sector_Cluster</t>
  </si>
  <si>
    <t>Predicted_Performance_Bucket</t>
  </si>
  <si>
    <t>Implied_Current_Performance</t>
  </si>
  <si>
    <t>Headquarters</t>
  </si>
  <si>
    <t>Est Emp. Count</t>
  </si>
  <si>
    <t>Estimated Revenue</t>
  </si>
  <si>
    <t>Employee Range</t>
  </si>
  <si>
    <t>Hiring Growth</t>
  </si>
  <si>
    <t>Private Equity Owner</t>
  </si>
  <si>
    <t>3P Processing</t>
  </si>
  <si>
    <t>Industrials</t>
  </si>
  <si>
    <t>Aerospace and Defense</t>
  </si>
  <si>
    <t>Mixed / Depends on Execution</t>
  </si>
  <si>
    <t>Wichita, KS</t>
  </si>
  <si>
    <t>201-500</t>
  </si>
  <si>
    <t>4CRisk</t>
  </si>
  <si>
    <t>Information Technology</t>
  </si>
  <si>
    <t>Risk Management</t>
  </si>
  <si>
    <t>San Francisco, CA</t>
  </si>
  <si>
    <t>11-50</t>
  </si>
  <si>
    <t>Other / Mixed</t>
  </si>
  <si>
    <t>Trondheim, Norway</t>
  </si>
  <si>
    <t>A1 Sewer &amp; Drain</t>
  </si>
  <si>
    <t>Home Services / Construction / Industrial Services</t>
  </si>
  <si>
    <t>Likely Outperforming</t>
  </si>
  <si>
    <t>Virginia Beach, VA</t>
  </si>
  <si>
    <t>51-200</t>
  </si>
  <si>
    <t>AFS Foundation &amp; Waterproofing Specialists</t>
  </si>
  <si>
    <t>Likely Struggling / At Risk</t>
  </si>
  <si>
    <t>Alabaster, AL</t>
  </si>
  <si>
    <t>5,001-10,000</t>
  </si>
  <si>
    <t>APPROVE (KWIPPED)</t>
  </si>
  <si>
    <t>Financials</t>
  </si>
  <si>
    <t>Financial Services - Asset Finance</t>
  </si>
  <si>
    <t>Wilmington, NC</t>
  </si>
  <si>
    <t>ARA</t>
  </si>
  <si>
    <t>Real Estate</t>
  </si>
  <si>
    <t>Albuquerque, NM</t>
  </si>
  <si>
    <t>1,000 - 5,000</t>
  </si>
  <si>
    <t>Acclinate</t>
  </si>
  <si>
    <t>Healthcare</t>
  </si>
  <si>
    <t>Birmingham, AL</t>
  </si>
  <si>
    <t>Aceragen</t>
  </si>
  <si>
    <t>DELISTED</t>
  </si>
  <si>
    <t>Acomhal Research</t>
  </si>
  <si>
    <t>Roanoke, VA</t>
  </si>
  <si>
    <t>Acorns</t>
  </si>
  <si>
    <t>Irvine, CA</t>
  </si>
  <si>
    <t>501-1000</t>
  </si>
  <si>
    <t>ActivEd (Walkabouts)</t>
  </si>
  <si>
    <t>Consumer Discretionary</t>
  </si>
  <si>
    <t>Greenville, SC</t>
  </si>
  <si>
    <t>Adovate</t>
  </si>
  <si>
    <t>Charlottesville, VA</t>
  </si>
  <si>
    <t>Argano (fmr: Advanced Global Resources)</t>
  </si>
  <si>
    <t>Plano, TX</t>
  </si>
  <si>
    <t>1000-5000</t>
  </si>
  <si>
    <t>AgTechInventures</t>
  </si>
  <si>
    <t>Materials</t>
  </si>
  <si>
    <t>Tech / Software / AI</t>
  </si>
  <si>
    <t>Durham, NC</t>
  </si>
  <si>
    <t>Agilix</t>
  </si>
  <si>
    <t>St. Louis, MO</t>
  </si>
  <si>
    <t>Agolo</t>
  </si>
  <si>
    <t>FAILED</t>
  </si>
  <si>
    <t>Airwavz</t>
  </si>
  <si>
    <t>Communications</t>
  </si>
  <si>
    <t>Charlotte, NC</t>
  </si>
  <si>
    <t>Aiwyn</t>
  </si>
  <si>
    <t>Alimetry</t>
  </si>
  <si>
    <t>Auckland, New Zealand</t>
  </si>
  <si>
    <t>51-100</t>
  </si>
  <si>
    <t>Allegion Ventures</t>
  </si>
  <si>
    <t>Financial Services / Capital</t>
  </si>
  <si>
    <t>Dublin, Ireland</t>
  </si>
  <si>
    <t>5001-10000</t>
  </si>
  <si>
    <t>Alloy</t>
  </si>
  <si>
    <t>New York, NY</t>
  </si>
  <si>
    <t>Altis Biosystems</t>
  </si>
  <si>
    <t>Healthcare / Life Sciences</t>
  </si>
  <si>
    <t>High-Risk / Capital Dependent</t>
  </si>
  <si>
    <t>Ambient.ai</t>
  </si>
  <si>
    <t>Redwood City, CA</t>
  </si>
  <si>
    <t>America’s Swimming Pool Co. (ASP)</t>
  </si>
  <si>
    <t>Macon, GA</t>
  </si>
  <si>
    <t>AmplifiedAg</t>
  </si>
  <si>
    <t>Charleston, SC</t>
  </si>
  <si>
    <t>Amulet Pharmaceuticals</t>
  </si>
  <si>
    <t>Anduril</t>
  </si>
  <si>
    <t>Orange County, CA</t>
  </si>
  <si>
    <t>1001-5000</t>
  </si>
  <si>
    <t>Animoca Brands</t>
  </si>
  <si>
    <t>Southern District, India</t>
  </si>
  <si>
    <t>Apollo AI</t>
  </si>
  <si>
    <t>Atlanta, GA</t>
  </si>
  <si>
    <t>AppRiver (exit)</t>
  </si>
  <si>
    <t>Gulf Breeze, FL</t>
  </si>
  <si>
    <t>Applied StemCell</t>
  </si>
  <si>
    <t>Milpitas, CA</t>
  </si>
  <si>
    <t>Apprentice</t>
  </si>
  <si>
    <t>AquaGuard Foundation Solutions</t>
  </si>
  <si>
    <t>Marietta, GA</t>
  </si>
  <si>
    <t>Aquipor</t>
  </si>
  <si>
    <t>Spokane, WA</t>
  </si>
  <si>
    <t>Arcadia Beverage</t>
  </si>
  <si>
    <t>Consumer Staples</t>
  </si>
  <si>
    <t>Arden, NC</t>
  </si>
  <si>
    <t>Arcadia Property Services</t>
  </si>
  <si>
    <t>Arctic Wolf</t>
  </si>
  <si>
    <t>Eden Prarie, MN</t>
  </si>
  <si>
    <t>Argenta</t>
  </si>
  <si>
    <t>Jacksonville, FL</t>
  </si>
  <si>
    <t>Arizona Biltmore</t>
  </si>
  <si>
    <t>Phoenix, AZ</t>
  </si>
  <si>
    <t>Armstrong Transport Group</t>
  </si>
  <si>
    <t>Logistics / Transport</t>
  </si>
  <si>
    <t>Artesian Spas</t>
  </si>
  <si>
    <t>Las Vegas, NV</t>
  </si>
  <si>
    <t>Artifact Uprising</t>
  </si>
  <si>
    <t>Denver, CO</t>
  </si>
  <si>
    <t>Artivon</t>
  </si>
  <si>
    <t>Zurich, Switzerland</t>
  </si>
  <si>
    <t>Aruna Bio</t>
  </si>
  <si>
    <t>Athens, GA</t>
  </si>
  <si>
    <t>Arvelle Therapeutics</t>
  </si>
  <si>
    <t>ACQUIRED</t>
  </si>
  <si>
    <t>Asaak</t>
  </si>
  <si>
    <t>Assemble</t>
  </si>
  <si>
    <t>Toronto, Canada</t>
  </si>
  <si>
    <t>AssetWatch</t>
  </si>
  <si>
    <t>Westerville, OH</t>
  </si>
  <si>
    <t>Astroforge</t>
  </si>
  <si>
    <t>Industrial / Manufacturing</t>
  </si>
  <si>
    <t>Seal Beach, CA</t>
  </si>
  <si>
    <t>Athennian</t>
  </si>
  <si>
    <t>Calgary, Canada</t>
  </si>
  <si>
    <t>Atom Tickets</t>
  </si>
  <si>
    <t>Santa Monica, CA</t>
  </si>
  <si>
    <t>Atomwise</t>
  </si>
  <si>
    <t>Atropos Health</t>
  </si>
  <si>
    <t>Palo Alto, CA</t>
  </si>
  <si>
    <t>Atticus Pharma</t>
  </si>
  <si>
    <t>Authentic Auto Body</t>
  </si>
  <si>
    <t>Holliston, MA</t>
  </si>
  <si>
    <t>AutoCruitment</t>
  </si>
  <si>
    <t>Raleigh, NC</t>
  </si>
  <si>
    <t>Auven Therapeutics</t>
  </si>
  <si>
    <t>St. Thomas, British Virgin Islands</t>
  </si>
  <si>
    <t>Avant</t>
  </si>
  <si>
    <t>Chicago, IL</t>
  </si>
  <si>
    <t>Aviatrix</t>
  </si>
  <si>
    <t>Santa Clara, CA</t>
  </si>
  <si>
    <t>Axim Geospatial (now NV5)</t>
  </si>
  <si>
    <t>Hollywood, FL</t>
  </si>
  <si>
    <t>Azurity</t>
  </si>
  <si>
    <t>Woburn, MA</t>
  </si>
  <si>
    <t>BIOS</t>
  </si>
  <si>
    <t>BNI Global</t>
  </si>
  <si>
    <t>BOOM Fantasy</t>
  </si>
  <si>
    <t>EXITED</t>
  </si>
  <si>
    <t>BOOM! Studios</t>
  </si>
  <si>
    <t>Los Angeles, CA</t>
  </si>
  <si>
    <t>Babylon Micro-Farms</t>
  </si>
  <si>
    <t>Richmond, VA</t>
  </si>
  <si>
    <t>Bacari</t>
  </si>
  <si>
    <t>Baebies</t>
  </si>
  <si>
    <t>BallerTV</t>
  </si>
  <si>
    <t>Pasadena, CA</t>
  </si>
  <si>
    <t>Barnsley Resort</t>
  </si>
  <si>
    <t>Hospitality / Restaurants / Foodservice</t>
  </si>
  <si>
    <t>Adairsville, GA</t>
  </si>
  <si>
    <t>Barton Watch Bands</t>
  </si>
  <si>
    <t>Dallas, TX</t>
  </si>
  <si>
    <t>Base</t>
  </si>
  <si>
    <t>Basho Technologies</t>
  </si>
  <si>
    <t>Redmond, WA</t>
  </si>
  <si>
    <t>Beck Technology</t>
  </si>
  <si>
    <t>Becker's Healthcare</t>
  </si>
  <si>
    <t>Bellagreen</t>
  </si>
  <si>
    <t>Richardson, TX</t>
  </si>
  <si>
    <t>Bend Bioscience (fka CoreRx)</t>
  </si>
  <si>
    <t>Clearwater, FL</t>
  </si>
  <si>
    <t>BigDot of Happiness</t>
  </si>
  <si>
    <t>Menomomie, WI</t>
  </si>
  <si>
    <t>BioAesthetics</t>
  </si>
  <si>
    <t>Bizwiz</t>
  </si>
  <si>
    <t>Blue Ridge Maritime</t>
  </si>
  <si>
    <t>Lynchburg, VA</t>
  </si>
  <si>
    <t>Blue Ridge Mountain Rentals</t>
  </si>
  <si>
    <t>Blowing Rock, NC</t>
  </si>
  <si>
    <t>Bookelicious</t>
  </si>
  <si>
    <t>Bosscat (formerly PunchListUSA)</t>
  </si>
  <si>
    <t>Boxabl</t>
  </si>
  <si>
    <t>Brainlabs</t>
  </si>
  <si>
    <t>Braskem</t>
  </si>
  <si>
    <t>Sao Paulo, Brazil</t>
  </si>
  <si>
    <t>BreachRx</t>
  </si>
  <si>
    <t>Brex</t>
  </si>
  <si>
    <t>FinTech (Agentic Finance)</t>
  </si>
  <si>
    <t>Bright Greens</t>
  </si>
  <si>
    <t>Brimar Industries, LLC</t>
  </si>
  <si>
    <t>Garfield, NJ</t>
  </si>
  <si>
    <t>BrittleBrittle</t>
  </si>
  <si>
    <t>DeSoto, TX</t>
  </si>
  <si>
    <t>Bublish</t>
  </si>
  <si>
    <t>Publishing</t>
  </si>
  <si>
    <t>Mount Pleasant, SC</t>
  </si>
  <si>
    <t>BDG (Bustle Digital Group)</t>
  </si>
  <si>
    <t>CBT Logistics Group</t>
  </si>
  <si>
    <t>Chesapeake, VA</t>
  </si>
  <si>
    <t>CDL Nuclear</t>
  </si>
  <si>
    <t>Energy</t>
  </si>
  <si>
    <t>Cranberry Township, PA</t>
  </si>
  <si>
    <t xml:space="preserve">CEATI </t>
  </si>
  <si>
    <t>Utilities</t>
  </si>
  <si>
    <t>Montreal, Canada</t>
  </si>
  <si>
    <t>CHEKHub</t>
  </si>
  <si>
    <t>CIH</t>
  </si>
  <si>
    <t>Indianapolis, IN</t>
  </si>
  <si>
    <t>COPILOT</t>
  </si>
  <si>
    <t>Cabinet</t>
  </si>
  <si>
    <t>CadChat</t>
  </si>
  <si>
    <t>Columbia, SC</t>
  </si>
  <si>
    <t>Cafe Patachon</t>
  </si>
  <si>
    <t>Cajun Steamer</t>
  </si>
  <si>
    <t>Hoover, AL</t>
  </si>
  <si>
    <t>Calient Technologies</t>
  </si>
  <si>
    <t>California Cryobank</t>
  </si>
  <si>
    <t>Canela.TV</t>
  </si>
  <si>
    <t>Cannon Roofing</t>
  </si>
  <si>
    <t>Spartanburg, SC</t>
  </si>
  <si>
    <t>Carbon</t>
  </si>
  <si>
    <t>Carolina Alliance Bank</t>
  </si>
  <si>
    <t>Carolina Foods</t>
  </si>
  <si>
    <t>Carputty</t>
  </si>
  <si>
    <t>Case</t>
  </si>
  <si>
    <t>Attleboro Falls, MA</t>
  </si>
  <si>
    <t>Case Status</t>
  </si>
  <si>
    <t>Casetext</t>
  </si>
  <si>
    <t>Cast-Crete</t>
  </si>
  <si>
    <t>Seffner, FL</t>
  </si>
  <si>
    <t>Catalina</t>
  </si>
  <si>
    <t>St. Petersburg, FL</t>
  </si>
  <si>
    <t>Catalyst Clinical Research</t>
  </si>
  <si>
    <t>Warhorse Cyber (fmr Cavalry)</t>
  </si>
  <si>
    <t>Alexandria, VA</t>
  </si>
  <si>
    <t>Cedar Point Club</t>
  </si>
  <si>
    <t>Suffolk, VA</t>
  </si>
  <si>
    <t>Cencora</t>
  </si>
  <si>
    <t>Cequence</t>
  </si>
  <si>
    <t>Cerevel</t>
  </si>
  <si>
    <t>Cerillo</t>
  </si>
  <si>
    <t>Ceto</t>
  </si>
  <si>
    <t>Alpharetta, GA</t>
  </si>
  <si>
    <t>Chamberlain Coffee</t>
  </si>
  <si>
    <t>Chance Legal</t>
  </si>
  <si>
    <t>Chargeback Gurus</t>
  </si>
  <si>
    <t>Checkr</t>
  </si>
  <si>
    <t>Lofty (fmr Chime)</t>
  </si>
  <si>
    <t>Chop Shop</t>
  </si>
  <si>
    <t>Circ</t>
  </si>
  <si>
    <t>Danville, VA</t>
  </si>
  <si>
    <t>Circle Media</t>
  </si>
  <si>
    <t>Nashville, TN</t>
  </si>
  <si>
    <t>ClarisHealth</t>
  </si>
  <si>
    <t>Brentwood, TN</t>
  </si>
  <si>
    <t>Clinical Ink</t>
  </si>
  <si>
    <t>Winston-Salem, NC</t>
  </si>
  <si>
    <t>Coastal Bank &amp; Trust</t>
  </si>
  <si>
    <t>Colorcon</t>
  </si>
  <si>
    <t>Harleysville, PA</t>
  </si>
  <si>
    <t>1,001-5000</t>
  </si>
  <si>
    <t>Comfort Keepers</t>
  </si>
  <si>
    <t>Commonwealth Epoxy Coatings, LLC</t>
  </si>
  <si>
    <t>Newport News, VA</t>
  </si>
  <si>
    <t>Compass MSP</t>
  </si>
  <si>
    <t>West Hartford, CT</t>
  </si>
  <si>
    <t>Complete Basement Systems</t>
  </si>
  <si>
    <t>Long Island, NY</t>
  </si>
  <si>
    <t>ConCntric</t>
  </si>
  <si>
    <t>Cambridge, MA</t>
  </si>
  <si>
    <t>Confidence / GaBBY Bows</t>
  </si>
  <si>
    <t>Confidential Live Events Company</t>
  </si>
  <si>
    <t>NONE DISCLOSED</t>
  </si>
  <si>
    <t>Consolidated Precision Products Corp.</t>
  </si>
  <si>
    <t>Cleveland, OH</t>
  </si>
  <si>
    <t>ConstructTech</t>
  </si>
  <si>
    <t>Contego Medical, LLC</t>
  </si>
  <si>
    <t>ConvertIT Internet Marketing</t>
  </si>
  <si>
    <t>Coros</t>
  </si>
  <si>
    <t>Mountain View, CA</t>
  </si>
  <si>
    <t>Covenant</t>
  </si>
  <si>
    <t>Chattanooga, TN</t>
  </si>
  <si>
    <t>Coworks</t>
  </si>
  <si>
    <t>CraneWorks</t>
  </si>
  <si>
    <t>Houston, TX</t>
  </si>
  <si>
    <t>CrewOne Productions</t>
  </si>
  <si>
    <t>Crosslake Technologies</t>
  </si>
  <si>
    <t>Curbio</t>
  </si>
  <si>
    <t>Real Estate Software</t>
  </si>
  <si>
    <t>Potomac, MD</t>
  </si>
  <si>
    <t>Curion</t>
  </si>
  <si>
    <t>Deerfield, IL</t>
  </si>
  <si>
    <t>CytoRecovery</t>
  </si>
  <si>
    <t>Blacksburg, VA</t>
  </si>
  <si>
    <t>DART</t>
  </si>
  <si>
    <t>DX Electric</t>
  </si>
  <si>
    <t>Grapevine, TX</t>
  </si>
  <si>
    <t>Darby</t>
  </si>
  <si>
    <t>Jericho, NY</t>
  </si>
  <si>
    <t>Datos Insights</t>
  </si>
  <si>
    <t>Boston, MA</t>
  </si>
  <si>
    <t>Debut</t>
  </si>
  <si>
    <t>San Diego, CA</t>
  </si>
  <si>
    <t>DeepBlue</t>
  </si>
  <si>
    <t>Monaco, Monaco</t>
  </si>
  <si>
    <t>Delee</t>
  </si>
  <si>
    <t>Menlo Park, CA</t>
  </si>
  <si>
    <t>Dermavant</t>
  </si>
  <si>
    <t>Delray Beach, CA</t>
  </si>
  <si>
    <t>Detrapel</t>
  </si>
  <si>
    <t>Dialpad</t>
  </si>
  <si>
    <t>San Ramon, CA</t>
  </si>
  <si>
    <t>Dignify Therapeutics</t>
  </si>
  <si>
    <t>Direct Color Systems</t>
  </si>
  <si>
    <t>Rocky Hill, CT</t>
  </si>
  <si>
    <t>Discord</t>
  </si>
  <si>
    <t>Dominion Block, Brick &amp; Hardscapes</t>
  </si>
  <si>
    <t>DraftWise</t>
  </si>
  <si>
    <t>Drew Foam Companies</t>
  </si>
  <si>
    <t>Montecello, AR</t>
  </si>
  <si>
    <t>Drone Racing League</t>
  </si>
  <si>
    <t>EDGE Industrial Technologies</t>
  </si>
  <si>
    <t>Wlider, KY</t>
  </si>
  <si>
    <t>EF Capital Holdings</t>
  </si>
  <si>
    <t>Norfolk, VA</t>
  </si>
  <si>
    <t>EarthOptics</t>
  </si>
  <si>
    <t>Minneapolis, MN</t>
  </si>
  <si>
    <t>EdLogics</t>
  </si>
  <si>
    <t>Edge Impulse</t>
  </si>
  <si>
    <t>Edsal Manufacturing</t>
  </si>
  <si>
    <t>Eggs Up Grill</t>
  </si>
  <si>
    <t>Einstök</t>
  </si>
  <si>
    <t>Akureyi, Iceland</t>
  </si>
  <si>
    <t>Electronic Lab Logs</t>
  </si>
  <si>
    <t>Elevaris</t>
  </si>
  <si>
    <t>Wilmington, MA</t>
  </si>
  <si>
    <t>Elevation Hotel &amp; Spa</t>
  </si>
  <si>
    <t>Mt. Crested Butte, CO</t>
  </si>
  <si>
    <t>Eleven Sports</t>
  </si>
  <si>
    <t>Manchester, England</t>
  </si>
  <si>
    <t>Elliott Aviation</t>
  </si>
  <si>
    <t>Milan, Italy</t>
  </si>
  <si>
    <t>Elysion</t>
  </si>
  <si>
    <t>Emergo Therapeutics</t>
  </si>
  <si>
    <t>Emrgy</t>
  </si>
  <si>
    <t>EnviCor Enterprises</t>
  </si>
  <si>
    <t>Smithfield, NC</t>
  </si>
  <si>
    <t>EnviroTech Services, Inc.</t>
  </si>
  <si>
    <t>Greeley, CO</t>
  </si>
  <si>
    <t>Epic Games</t>
  </si>
  <si>
    <t>Cary, NC</t>
  </si>
  <si>
    <t>Equilibrium Energy</t>
  </si>
  <si>
    <t>St. Kilda, Victoria</t>
  </si>
  <si>
    <t>Ethos</t>
  </si>
  <si>
    <t>Evercam</t>
  </si>
  <si>
    <t>Everly Health</t>
  </si>
  <si>
    <t>NOT DISCLOSED</t>
  </si>
  <si>
    <t>Exabeam</t>
  </si>
  <si>
    <t>Foster City, CA</t>
  </si>
  <si>
    <t>Exacta Land Surveyors</t>
  </si>
  <si>
    <t>Eximis Surgical</t>
  </si>
  <si>
    <t>Louisville, KY</t>
  </si>
  <si>
    <t>Expedited Travel</t>
  </si>
  <si>
    <t>West Palm Beach, FL</t>
  </si>
  <si>
    <t>FM Expressions</t>
  </si>
  <si>
    <t>Gordonsville, VA</t>
  </si>
  <si>
    <t>Fabric8Labs</t>
  </si>
  <si>
    <t>Familia Dental</t>
  </si>
  <si>
    <t>Schaumberg, IL</t>
  </si>
  <si>
    <t>Farmstead at Long Meadow Ranch</t>
  </si>
  <si>
    <t>Fashivly</t>
  </si>
  <si>
    <t>Fenris Digital</t>
  </si>
  <si>
    <t>Casablanca, CA</t>
  </si>
  <si>
    <t>Fibrix Filtration</t>
  </si>
  <si>
    <t>Mooresville, NC</t>
  </si>
  <si>
    <t>FibroGen</t>
  </si>
  <si>
    <t>Fleet Feet</t>
  </si>
  <si>
    <t>Carrboro, NC</t>
  </si>
  <si>
    <t>Flux Hybrids</t>
  </si>
  <si>
    <t>Flexport</t>
  </si>
  <si>
    <t>Groundworks (fmr Florida Foundation Authority)</t>
  </si>
  <si>
    <t>Flow Labs</t>
  </si>
  <si>
    <t>Oakland, CA</t>
  </si>
  <si>
    <t>Foundation Recovery Systems</t>
  </si>
  <si>
    <t>Moberly, MO</t>
  </si>
  <si>
    <t>Foundation Repair of Western Colorado</t>
  </si>
  <si>
    <t>Grand Junction, CO</t>
  </si>
  <si>
    <t>Foundation Systems of Michigan</t>
  </si>
  <si>
    <t>Livonia, MI</t>
  </si>
  <si>
    <t>Freedom Electronics</t>
  </si>
  <si>
    <t>Kennesaw, GA</t>
  </si>
  <si>
    <t>Fumex Air Filtration</t>
  </si>
  <si>
    <t>GPS Air</t>
  </si>
  <si>
    <t>Gallant</t>
  </si>
  <si>
    <t>Crystal Lake, IL</t>
  </si>
  <si>
    <t>Gauzy</t>
  </si>
  <si>
    <t>Salt Lake City, UT</t>
  </si>
  <si>
    <t>Geli</t>
  </si>
  <si>
    <t>Genesis Biocapital</t>
  </si>
  <si>
    <t>Givebacks (MemberHub)</t>
  </si>
  <si>
    <t>Glenn Industrial Group</t>
  </si>
  <si>
    <t>GoPivot</t>
  </si>
  <si>
    <t>Golden Corral</t>
  </si>
  <si>
    <t>Gooten</t>
  </si>
  <si>
    <t>Gradient Health</t>
  </si>
  <si>
    <t>Grata</t>
  </si>
  <si>
    <t>Gravitate</t>
  </si>
  <si>
    <t>Vancouver, WA</t>
  </si>
  <si>
    <t>Greenlight</t>
  </si>
  <si>
    <t>GrowSquares</t>
  </si>
  <si>
    <t>Brooklyn, NY</t>
  </si>
  <si>
    <t>Grunenthal</t>
  </si>
  <si>
    <t>Aachen, Germany</t>
  </si>
  <si>
    <t>Halo (Acquired by symplr)</t>
  </si>
  <si>
    <t>Handi Quilter</t>
  </si>
  <si>
    <t>Handoff AI</t>
  </si>
  <si>
    <t>UNDISCLOSED</t>
  </si>
  <si>
    <t>Hansa Biopharma</t>
  </si>
  <si>
    <t>Lund, Sweden</t>
  </si>
  <si>
    <t>HappyCo</t>
  </si>
  <si>
    <t>Carlsbad, CA</t>
  </si>
  <si>
    <t>Harmar</t>
  </si>
  <si>
    <t>Sarasota, FL</t>
  </si>
  <si>
    <t>Healthycell</t>
  </si>
  <si>
    <t>Hedge</t>
  </si>
  <si>
    <t>HelioCampus</t>
  </si>
  <si>
    <t>Chapel Hill, NC</t>
  </si>
  <si>
    <t>HelloPackage</t>
  </si>
  <si>
    <t>Hi Tek Data</t>
  </si>
  <si>
    <t>Syosset, NY</t>
  </si>
  <si>
    <t>HopDrive</t>
  </si>
  <si>
    <t>Hospira</t>
  </si>
  <si>
    <t>Lake Forest, IL</t>
  </si>
  <si>
    <t>10000+</t>
  </si>
  <si>
    <t>HqO</t>
  </si>
  <si>
    <t>HudsonMX</t>
  </si>
  <si>
    <t>Hylaine</t>
  </si>
  <si>
    <t>IDEA Fund Partners</t>
  </si>
  <si>
    <t>IMC</t>
  </si>
  <si>
    <t>Pittsburgh, PA</t>
  </si>
  <si>
    <t>INX</t>
  </si>
  <si>
    <t>Pass It Down (fmr Iconic Moments)</t>
  </si>
  <si>
    <t>Baton Rouge, LA</t>
  </si>
  <si>
    <t>InRule Technology</t>
  </si>
  <si>
    <t>InTech Aerospace</t>
  </si>
  <si>
    <t>Incyclix Bio</t>
  </si>
  <si>
    <t>Independence Materials Group (IMG)</t>
  </si>
  <si>
    <t>Indiana Foundation Service</t>
  </si>
  <si>
    <t>Whiteland, IN</t>
  </si>
  <si>
    <t>5,000-10,000</t>
  </si>
  <si>
    <t>InformedDNA</t>
  </si>
  <si>
    <t>Infusd Nutrition</t>
  </si>
  <si>
    <t>Halifax, Canada</t>
  </si>
  <si>
    <t>Innovative Basement Authority</t>
  </si>
  <si>
    <t>Rush City, MN</t>
  </si>
  <si>
    <t>Interplay Learning</t>
  </si>
  <si>
    <t>Austin, TX</t>
  </si>
  <si>
    <t>Intrepid Mission Driven Solutions</t>
  </si>
  <si>
    <t>Middletown, DE</t>
  </si>
  <si>
    <t>Invicta Water</t>
  </si>
  <si>
    <t>Burlington, NC</t>
  </si>
  <si>
    <t>Invoy</t>
  </si>
  <si>
    <t>JES Evergreen</t>
  </si>
  <si>
    <t>JES Foundation Repair</t>
  </si>
  <si>
    <t>Nottingham, MD</t>
  </si>
  <si>
    <t>JK Findings</t>
  </si>
  <si>
    <t>Rochester, NY</t>
  </si>
  <si>
    <t>Jackpocket</t>
  </si>
  <si>
    <t>Jane</t>
  </si>
  <si>
    <t>Santa Cruz, CA</t>
  </si>
  <si>
    <t>Japs-Olson</t>
  </si>
  <si>
    <t>St. Louis Park, MN</t>
  </si>
  <si>
    <t>Joe Tools</t>
  </si>
  <si>
    <t>Lilliburn, GA</t>
  </si>
  <si>
    <t>Jones Naturals</t>
  </si>
  <si>
    <t>Rockford, IL</t>
  </si>
  <si>
    <t>Jumo Health</t>
  </si>
  <si>
    <t>New Haven, CT</t>
  </si>
  <si>
    <t>Jupiter Bioventures</t>
  </si>
  <si>
    <t>K38 Baja</t>
  </si>
  <si>
    <t>KIYATEC</t>
  </si>
  <si>
    <t>KOMO Biosciences</t>
  </si>
  <si>
    <t>Kasa</t>
  </si>
  <si>
    <t>Kauffman Engineering</t>
  </si>
  <si>
    <t>Linconshire, IL</t>
  </si>
  <si>
    <t>Kellogg’s</t>
  </si>
  <si>
    <t>Key Data Dashboard</t>
  </si>
  <si>
    <t>Santa Rosa Beach, FL</t>
  </si>
  <si>
    <t>Kiawah Partners</t>
  </si>
  <si>
    <t>Kiawah Island, SC</t>
  </si>
  <si>
    <t>Kin</t>
  </si>
  <si>
    <t>KneeVoice</t>
  </si>
  <si>
    <t>Kraken</t>
  </si>
  <si>
    <t>Remote</t>
  </si>
  <si>
    <t>Kuli Kuli</t>
  </si>
  <si>
    <t>LMNT</t>
  </si>
  <si>
    <t>Lafayette Instrument</t>
  </si>
  <si>
    <t>Lafayette, IN</t>
  </si>
  <si>
    <t>Landscapers Supply</t>
  </si>
  <si>
    <t>Distribution / Supply Chain</t>
  </si>
  <si>
    <t>Latchel</t>
  </si>
  <si>
    <t>Seattle, WA</t>
  </si>
  <si>
    <t>LawGeex</t>
  </si>
  <si>
    <t>Ledge</t>
  </si>
  <si>
    <t>Katy, TX</t>
  </si>
  <si>
    <t>Legacy Data Access</t>
  </si>
  <si>
    <t>Legacy Partners</t>
  </si>
  <si>
    <t>Leghorn Investments</t>
  </si>
  <si>
    <t>Level.Agency</t>
  </si>
  <si>
    <t>Puerto Vallarta, Mexico</t>
  </si>
  <si>
    <t>Lexitas</t>
  </si>
  <si>
    <t>Liberty Safe</t>
  </si>
  <si>
    <t>Payson, UT</t>
  </si>
  <si>
    <t>LinkSquares</t>
  </si>
  <si>
    <t>Liquid Death</t>
  </si>
  <si>
    <t>Live.Eat.Surf</t>
  </si>
  <si>
    <t>Local Hive</t>
  </si>
  <si>
    <t>Low Falls Wholesale Nursery</t>
  </si>
  <si>
    <t>Lumata Health</t>
  </si>
  <si>
    <t>Luminelle (UVision360)</t>
  </si>
  <si>
    <t>Luminoah</t>
  </si>
  <si>
    <t>Lupin</t>
  </si>
  <si>
    <t>Mumbai, India</t>
  </si>
  <si>
    <t>10,000+</t>
  </si>
  <si>
    <t>MI RNA</t>
  </si>
  <si>
    <t>North Brunswick, NJ</t>
  </si>
  <si>
    <t>MOXFIVE</t>
  </si>
  <si>
    <t>McLean, VA</t>
  </si>
  <si>
    <t>MP Cloud Technologies</t>
  </si>
  <si>
    <t>Mac Papers + Packaging</t>
  </si>
  <si>
    <t>Mapped</t>
  </si>
  <si>
    <t>El Segundo, CA</t>
  </si>
  <si>
    <t>Maragame Udon</t>
  </si>
  <si>
    <t>Marine Floats</t>
  </si>
  <si>
    <t>Tacoma, WA</t>
  </si>
  <si>
    <t>Market Leader</t>
  </si>
  <si>
    <t>Bellevue, WA</t>
  </si>
  <si>
    <t>Mattco Forge, Inc.</t>
  </si>
  <si>
    <t>Paramount, CA</t>
  </si>
  <si>
    <t>Mattoboard</t>
  </si>
  <si>
    <t>MaxxSonics</t>
  </si>
  <si>
    <t>Libertyville, IL</t>
  </si>
  <si>
    <t>Maybe</t>
  </si>
  <si>
    <t>McCorquodale Transfer</t>
  </si>
  <si>
    <t>McKenzie Global Creative Brands</t>
  </si>
  <si>
    <t>Med Aditus</t>
  </si>
  <si>
    <t>MemberMax</t>
  </si>
  <si>
    <t>Mend</t>
  </si>
  <si>
    <t>Orlando, FL</t>
  </si>
  <si>
    <t>Mesoblast</t>
  </si>
  <si>
    <t>Melbourne, Austrailia</t>
  </si>
  <si>
    <t>Michelli Weighing &amp; Measurement</t>
  </si>
  <si>
    <t>Harahan, LA</t>
  </si>
  <si>
    <t>Microcall</t>
  </si>
  <si>
    <t>Milestone Tech</t>
  </si>
  <si>
    <t>Castle Rock, CO</t>
  </si>
  <si>
    <t>Mileutis</t>
  </si>
  <si>
    <t>Ness Ziona, Israel</t>
  </si>
  <si>
    <t>Millennia</t>
  </si>
  <si>
    <t>Milsco</t>
  </si>
  <si>
    <t>Milwaukee, WI</t>
  </si>
  <si>
    <t>Mimosa Bay</t>
  </si>
  <si>
    <t>Minna</t>
  </si>
  <si>
    <t>Hudson, NY</t>
  </si>
  <si>
    <t>Mint House</t>
  </si>
  <si>
    <t>MinuteMedia</t>
  </si>
  <si>
    <t>Not DISCLOSED</t>
  </si>
  <si>
    <t>Modern Milkman</t>
  </si>
  <si>
    <t>Modern Ritual</t>
  </si>
  <si>
    <t>Mojio</t>
  </si>
  <si>
    <t>Vancouver, Canada</t>
  </si>
  <si>
    <t>Monument Advocacy</t>
  </si>
  <si>
    <t>Washington, D.C.</t>
  </si>
  <si>
    <t>Mount Valley Foundation Services</t>
  </si>
  <si>
    <t>Mundi Pharma</t>
  </si>
  <si>
    <t>My Code</t>
  </si>
  <si>
    <t>MycoTechnology</t>
  </si>
  <si>
    <t>Aurora, CO</t>
  </si>
  <si>
    <t>Mycovia Pharmaceuticals</t>
  </si>
  <si>
    <t>Myndlift</t>
  </si>
  <si>
    <t>Myovant</t>
  </si>
  <si>
    <t>Brisbane, CA</t>
  </si>
  <si>
    <t>NEOGOV</t>
  </si>
  <si>
    <t>NPI Financial</t>
  </si>
  <si>
    <t>Naples Grande Beach Resort</t>
  </si>
  <si>
    <t>Naples, FL</t>
  </si>
  <si>
    <t>Napolese</t>
  </si>
  <si>
    <t>National Electronic Alloys</t>
  </si>
  <si>
    <t>Oakland, NJ</t>
  </si>
  <si>
    <t>National Safety Apparel</t>
  </si>
  <si>
    <t>NaturX</t>
  </si>
  <si>
    <t>India</t>
  </si>
  <si>
    <t>Nav.it</t>
  </si>
  <si>
    <t>Neighborly Software</t>
  </si>
  <si>
    <t>Net Base Quid</t>
  </si>
  <si>
    <t>Netskope</t>
  </si>
  <si>
    <t>Neuspera</t>
  </si>
  <si>
    <t>San Jose, CA</t>
  </si>
  <si>
    <t>Nevakar</t>
  </si>
  <si>
    <t>Bridgewater, NJ</t>
  </si>
  <si>
    <t>New York Butcher Shoppe</t>
  </si>
  <si>
    <t>NewBridge Bank</t>
  </si>
  <si>
    <t>Greensboro, NC</t>
  </si>
  <si>
    <t>Niricson</t>
  </si>
  <si>
    <t>Victoria, Canada</t>
  </si>
  <si>
    <t>Novome Biotechnologies</t>
  </si>
  <si>
    <t>O.R. Colan Associates</t>
  </si>
  <si>
    <t>O2X Human Performance</t>
  </si>
  <si>
    <t>Oath Pizza</t>
  </si>
  <si>
    <t>Nantucket, MA</t>
  </si>
  <si>
    <t>Oddball</t>
  </si>
  <si>
    <t>Oden Technologies</t>
  </si>
  <si>
    <t>Office Practicum</t>
  </si>
  <si>
    <t>Ft. Washington, PA</t>
  </si>
  <si>
    <t>Ohanifi</t>
  </si>
  <si>
    <t>Ohio Basement Authority</t>
  </si>
  <si>
    <t>Twinsburg, OH</t>
  </si>
  <si>
    <t>Olive Tree People</t>
  </si>
  <si>
    <t>Oliver Packaging &amp; Equipment</t>
  </si>
  <si>
    <t>Walker, MI</t>
  </si>
  <si>
    <t>Olympus</t>
  </si>
  <si>
    <t>Tokyo, Japan</t>
  </si>
  <si>
    <t>On Target Labs</t>
  </si>
  <si>
    <t>West Lafayette, IN</t>
  </si>
  <si>
    <t>OnSight Industries</t>
  </si>
  <si>
    <t>Sanford, FL</t>
  </si>
  <si>
    <t>One Digital Trust</t>
  </si>
  <si>
    <t>One Hour Heating &amp; Air Conditioning</t>
  </si>
  <si>
    <t>Openpath</t>
  </si>
  <si>
    <t>Opus Medical</t>
  </si>
  <si>
    <t>Charleston, WV</t>
  </si>
  <si>
    <t>Osborn</t>
  </si>
  <si>
    <t>Richmond, IN</t>
  </si>
  <si>
    <t>Oscilla Power</t>
  </si>
  <si>
    <t>Overstory</t>
  </si>
  <si>
    <t>Somerville, MA</t>
  </si>
  <si>
    <t>PGA National Resort</t>
  </si>
  <si>
    <t>Palm Beach Gardens, FL</t>
  </si>
  <si>
    <t>PGF Tech</t>
  </si>
  <si>
    <t>Rochester Hills, MI</t>
  </si>
  <si>
    <t>PLU Opthamaltic</t>
  </si>
  <si>
    <t>Miami, FL</t>
  </si>
  <si>
    <t>PROTECT3D</t>
  </si>
  <si>
    <t>PRTI</t>
  </si>
  <si>
    <t>Franklinton, NC</t>
  </si>
  <si>
    <t>PSAI</t>
  </si>
  <si>
    <t>Pacegenix</t>
  </si>
  <si>
    <t>Paladin Cloud</t>
  </si>
  <si>
    <t>PIscataway, NJ</t>
  </si>
  <si>
    <t>Palmetto Adhesives</t>
  </si>
  <si>
    <t>Palmetto Bluff</t>
  </si>
  <si>
    <t>Bluffton, SC</t>
  </si>
  <si>
    <t>Palmetto Infusion Services</t>
  </si>
  <si>
    <t>Pawleys Island, SC</t>
  </si>
  <si>
    <t>Pandoodle</t>
  </si>
  <si>
    <t>Pano</t>
  </si>
  <si>
    <t>Papa Johns</t>
  </si>
  <si>
    <t>Detroit, MI</t>
  </si>
  <si>
    <t>Paradigm Therapeutics</t>
  </si>
  <si>
    <t>PeerNova</t>
  </si>
  <si>
    <t>Personify</t>
  </si>
  <si>
    <t>PetVisor</t>
  </si>
  <si>
    <t>Petite Chou</t>
  </si>
  <si>
    <t>Pfizer</t>
  </si>
  <si>
    <t>Phathom Pharmaceuticals</t>
  </si>
  <si>
    <t>Florham Park, NJ</t>
  </si>
  <si>
    <t>Phinite</t>
  </si>
  <si>
    <t>Clinton, NC</t>
  </si>
  <si>
    <t>Phoenix Molecular Designs</t>
  </si>
  <si>
    <t>Phononic</t>
  </si>
  <si>
    <t>Pickle Juice</t>
  </si>
  <si>
    <t>Piedmont Beverage Company</t>
  </si>
  <si>
    <t>Pindrop</t>
  </si>
  <si>
    <t>Plantd</t>
  </si>
  <si>
    <t>Oxford, NC</t>
  </si>
  <si>
    <t>Plantible</t>
  </si>
  <si>
    <t>Plotlogic</t>
  </si>
  <si>
    <t>Queensland, NZ</t>
  </si>
  <si>
    <t>Plum Print</t>
  </si>
  <si>
    <t>Asheville, NC</t>
  </si>
  <si>
    <t>Pointivo</t>
  </si>
  <si>
    <t>Powerhouse Brands</t>
  </si>
  <si>
    <t>PragmatIC</t>
  </si>
  <si>
    <t>Precision</t>
  </si>
  <si>
    <t>Cumberland, RI</t>
  </si>
  <si>
    <t>Precision AI</t>
  </si>
  <si>
    <t>Pro-ficiency</t>
  </si>
  <si>
    <t>ProAxion</t>
  </si>
  <si>
    <t>Process Barron</t>
  </si>
  <si>
    <t>Pelham, AL</t>
  </si>
  <si>
    <t>ProctorFree</t>
  </si>
  <si>
    <t>Davidson, NC</t>
  </si>
  <si>
    <t>Profisee</t>
  </si>
  <si>
    <t>Prospect</t>
  </si>
  <si>
    <t>Rolling Meadows, IL</t>
  </si>
  <si>
    <t>Protera</t>
  </si>
  <si>
    <t>Westchester, IL</t>
  </si>
  <si>
    <t>Pupco</t>
  </si>
  <si>
    <t>QMotion</t>
  </si>
  <si>
    <t>Milton Keyes, United Kingdom</t>
  </si>
  <si>
    <t>Quality Automotive Services</t>
  </si>
  <si>
    <t>Qualtrax (now IdeaGen)</t>
  </si>
  <si>
    <t>RB Fire United</t>
  </si>
  <si>
    <t>RIOS Intelligent Machines</t>
  </si>
  <si>
    <t>Rainbow International Restoration</t>
  </si>
  <si>
    <t>RapidAI</t>
  </si>
  <si>
    <t>San Mateo, CA</t>
  </si>
  <si>
    <t>Raven</t>
  </si>
  <si>
    <t>ReAlta Life Sciences</t>
  </si>
  <si>
    <t>Redbud Labs</t>
  </si>
  <si>
    <t>Region Rents</t>
  </si>
  <si>
    <t>Relativity</t>
  </si>
  <si>
    <t>Reliance Aircraft International</t>
  </si>
  <si>
    <t>Reliance Partners</t>
  </si>
  <si>
    <t>Chatanooga, TN</t>
  </si>
  <si>
    <t>Rem3dy Health</t>
  </si>
  <si>
    <t>Smethwick, United Kingdom</t>
  </si>
  <si>
    <t>Rentberry</t>
  </si>
  <si>
    <t>Residences at Salamander</t>
  </si>
  <si>
    <t>Revance</t>
  </si>
  <si>
    <t>Reveal</t>
  </si>
  <si>
    <t>Revive Superfoods</t>
  </si>
  <si>
    <t>Right at Home</t>
  </si>
  <si>
    <t>Omaha, Nebraska</t>
  </si>
  <si>
    <t>Ripple</t>
  </si>
  <si>
    <t>River Port LLC</t>
  </si>
  <si>
    <t>Roadrunner Recycling</t>
  </si>
  <si>
    <t>Robin</t>
  </si>
  <si>
    <t>Roebuck Landscaping</t>
  </si>
  <si>
    <t>Roebuck, SC</t>
  </si>
  <si>
    <t>Roivant</t>
  </si>
  <si>
    <t>Roofstock</t>
  </si>
  <si>
    <t>Roots Automation</t>
  </si>
  <si>
    <t>Rubrik</t>
  </si>
  <si>
    <t>RuffleButts</t>
  </si>
  <si>
    <t>Flower Mound, TX</t>
  </si>
  <si>
    <t>Rugged Solutions America</t>
  </si>
  <si>
    <t>Russell Hendrix Foodservice Equipment</t>
  </si>
  <si>
    <t>Brockville, Canada</t>
  </si>
  <si>
    <t>SPG</t>
  </si>
  <si>
    <t>Laguna Nigel, CA</t>
  </si>
  <si>
    <t>Sabanto</t>
  </si>
  <si>
    <t>Said Differently</t>
  </si>
  <si>
    <t>Samara Aerospace</t>
  </si>
  <si>
    <t>Sanofi</t>
  </si>
  <si>
    <t>Paris, France</t>
  </si>
  <si>
    <t>Sapience Therapeutics</t>
  </si>
  <si>
    <t>Tarrytown, NY</t>
  </si>
  <si>
    <t>Sawgrass Marriott</t>
  </si>
  <si>
    <t>Pontre Vidra, FL</t>
  </si>
  <si>
    <t>Scalable Systems</t>
  </si>
  <si>
    <t>Scout</t>
  </si>
  <si>
    <t>Seafarer Exploration</t>
  </si>
  <si>
    <t>Tampa, FL</t>
  </si>
  <si>
    <t>Seal the Seasons</t>
  </si>
  <si>
    <t>Sebela Pharmaceuticals Inc.</t>
  </si>
  <si>
    <t>Roswell, GA</t>
  </si>
  <si>
    <t>Sempre Health</t>
  </si>
  <si>
    <t>Sensory Analytics</t>
  </si>
  <si>
    <t>Serenity EHS</t>
  </si>
  <si>
    <t>Servosity</t>
  </si>
  <si>
    <t>Setcom</t>
  </si>
  <si>
    <t>Sewer A.I.</t>
  </si>
  <si>
    <t>Walnut Creek, CA</t>
  </si>
  <si>
    <t>Shark Wheel</t>
  </si>
  <si>
    <t>Mission Viejo, CA</t>
  </si>
  <si>
    <t>Sharpen</t>
  </si>
  <si>
    <t>Shionogi</t>
  </si>
  <si>
    <t>ShipBob</t>
  </si>
  <si>
    <t>SignalWire</t>
  </si>
  <si>
    <t>Siren Snacks</t>
  </si>
  <si>
    <t>Skillsmaker.ai</t>
  </si>
  <si>
    <t>Snak King</t>
  </si>
  <si>
    <t>Socket &amp; IdeaTek</t>
  </si>
  <si>
    <t>Soelect</t>
  </si>
  <si>
    <t>Solestra Group</t>
  </si>
  <si>
    <t>Valencia, CA</t>
  </si>
  <si>
    <t>Sono Vascular</t>
  </si>
  <si>
    <t>White Marsh, MD</t>
  </si>
  <si>
    <t>South Atlantic Contract Packaging</t>
  </si>
  <si>
    <t>SouthEast Land Management</t>
  </si>
  <si>
    <t>Fort Lauderdale, FL</t>
  </si>
  <si>
    <t>Southeast TechInventures</t>
  </si>
  <si>
    <t>Southern Exteriors</t>
  </si>
  <si>
    <t>Jackson, GA</t>
  </si>
  <si>
    <t>Spectro Cloud</t>
  </si>
  <si>
    <t>SpendHQ</t>
  </si>
  <si>
    <t>Spiffy</t>
  </si>
  <si>
    <t>Apex, NC</t>
  </si>
  <si>
    <t>Sprockets</t>
  </si>
  <si>
    <t>StableDry Services</t>
  </si>
  <si>
    <t>Pleasant View, TN</t>
  </si>
  <si>
    <t>Stacked</t>
  </si>
  <si>
    <t>SteadyMD</t>
  </si>
  <si>
    <t>Steno</t>
  </si>
  <si>
    <t>Stinger</t>
  </si>
  <si>
    <t>Storelli</t>
  </si>
  <si>
    <t>Strata Education Group</t>
  </si>
  <si>
    <t>Stripe</t>
  </si>
  <si>
    <t>5001-10000+</t>
  </si>
  <si>
    <t>Stuf</t>
  </si>
  <si>
    <t>Sugarfina</t>
  </si>
  <si>
    <t>Super Home Services</t>
  </si>
  <si>
    <t>SuperBetter</t>
  </si>
  <si>
    <t>Glen Ellyn, IL</t>
  </si>
  <si>
    <t>Supermoon</t>
  </si>
  <si>
    <t>Synergy ECP</t>
  </si>
  <si>
    <t>Columbia, MD</t>
  </si>
  <si>
    <t>Syntis</t>
  </si>
  <si>
    <t>TEGNA</t>
  </si>
  <si>
    <t>Tysons Corner, VA</t>
  </si>
  <si>
    <t>TManagement</t>
  </si>
  <si>
    <t>Taali</t>
  </si>
  <si>
    <t>Taco Bamba</t>
  </si>
  <si>
    <t>Falls Church, VA</t>
  </si>
  <si>
    <t>Takeda</t>
  </si>
  <si>
    <t>Talent Management LLC</t>
  </si>
  <si>
    <t>Tar Heel Basement Systems</t>
  </si>
  <si>
    <t>Targan</t>
  </si>
  <si>
    <t>Technical Coating International (TCI)</t>
  </si>
  <si>
    <t>Leland, NC</t>
  </si>
  <si>
    <t>Tellus Therapeutics</t>
  </si>
  <si>
    <t>TendoNova</t>
  </si>
  <si>
    <t>Suwanee, TN</t>
  </si>
  <si>
    <t>Tesseract</t>
  </si>
  <si>
    <t>TextIQ</t>
  </si>
  <si>
    <t>The Cliffs</t>
  </si>
  <si>
    <t>Travelers Rest, SC</t>
  </si>
  <si>
    <t>The King and Prince</t>
  </si>
  <si>
    <t>St. Simons Island, GA</t>
  </si>
  <si>
    <t>The Liberty Group</t>
  </si>
  <si>
    <t>The Outline</t>
  </si>
  <si>
    <t>The Virginia Food Group</t>
  </si>
  <si>
    <t>Thetford</t>
  </si>
  <si>
    <t>Ann Arbor, MI</t>
  </si>
  <si>
    <t>Thornhill Therapeutics</t>
  </si>
  <si>
    <t>Three Wishes</t>
  </si>
  <si>
    <t>Thrust Flight</t>
  </si>
  <si>
    <t>Addison, TX</t>
  </si>
  <si>
    <t>Timeplast</t>
  </si>
  <si>
    <t>Longwood, FL</t>
  </si>
  <si>
    <t>Topix</t>
  </si>
  <si>
    <t>Tower7</t>
  </si>
  <si>
    <t>Traction AG</t>
  </si>
  <si>
    <t>Auburn, IN</t>
  </si>
  <si>
    <t>Tradition Brewing Co</t>
  </si>
  <si>
    <t>Training The Street</t>
  </si>
  <si>
    <t>Tranium Group (minority investors)</t>
  </si>
  <si>
    <t>Transect</t>
  </si>
  <si>
    <t>San Antonio, TX</t>
  </si>
  <si>
    <t>Transtar Holding Company</t>
  </si>
  <si>
    <t>Treis Blockchain</t>
  </si>
  <si>
    <t>Trilio</t>
  </si>
  <si>
    <t>Framingham, MA</t>
  </si>
  <si>
    <t>Trio Labs</t>
  </si>
  <si>
    <t>Morrisville, NC</t>
  </si>
  <si>
    <t>Trudy's</t>
  </si>
  <si>
    <t>Trust &amp; Will</t>
  </si>
  <si>
    <t>Truvant</t>
  </si>
  <si>
    <t>Trym</t>
  </si>
  <si>
    <t>Novata, CA</t>
  </si>
  <si>
    <t>Tube Bending</t>
  </si>
  <si>
    <t>Apple Valley, CA</t>
  </si>
  <si>
    <t>Tubi</t>
  </si>
  <si>
    <t>Turo</t>
  </si>
  <si>
    <t>U.S. Endo Partners</t>
  </si>
  <si>
    <t>UAC</t>
  </si>
  <si>
    <t>Mansfield, TX</t>
  </si>
  <si>
    <t>US Eye</t>
  </si>
  <si>
    <t>University Park, FL</t>
  </si>
  <si>
    <t>Ucan</t>
  </si>
  <si>
    <t>Woodbridge, CT</t>
  </si>
  <si>
    <t>Unearth</t>
  </si>
  <si>
    <t>Sacramento, CA</t>
  </si>
  <si>
    <t>Universal Diagnostics</t>
  </si>
  <si>
    <t>Univo IRB</t>
  </si>
  <si>
    <t>Upshift</t>
  </si>
  <si>
    <t>Cincinnati, OH</t>
  </si>
  <si>
    <t>Urban SDK</t>
  </si>
  <si>
    <t>VQ Biomedical</t>
  </si>
  <si>
    <t>VRC Engineered Solutions</t>
  </si>
  <si>
    <t>Valtir</t>
  </si>
  <si>
    <t>Venture Count</t>
  </si>
  <si>
    <t>Washington D.C.</t>
  </si>
  <si>
    <t>VergeSense</t>
  </si>
  <si>
    <t>VeriSIM Life</t>
  </si>
  <si>
    <t>VeriSolutions</t>
  </si>
  <si>
    <t>Veson Nautical</t>
  </si>
  <si>
    <t>Virgo</t>
  </si>
  <si>
    <t>Vitrek</t>
  </si>
  <si>
    <t>Vizbee</t>
  </si>
  <si>
    <t>Voxel</t>
  </si>
  <si>
    <t>Warwick Maritime</t>
  </si>
  <si>
    <t>Waupaca Foundry, Inc.</t>
  </si>
  <si>
    <t>Waupauca, WI</t>
  </si>
  <si>
    <t>Waverton Wealth</t>
  </si>
  <si>
    <t>Edinburgh, United Kingdom</t>
  </si>
  <si>
    <t>Wealthbox</t>
  </si>
  <si>
    <t>Wellbox</t>
  </si>
  <si>
    <t>Whimstay</t>
  </si>
  <si>
    <t>Wilmington Pharmaceuticals</t>
  </si>
  <si>
    <t>Won't Stop Hospitality</t>
  </si>
  <si>
    <t>World 50</t>
  </si>
  <si>
    <t>Woven Solutions</t>
  </si>
  <si>
    <t>Reston, VA</t>
  </si>
  <si>
    <t>Wripple</t>
  </si>
  <si>
    <t>XLA</t>
  </si>
  <si>
    <t>Vienna, VA</t>
  </si>
  <si>
    <t>Your Part-Time Controller</t>
  </si>
  <si>
    <t>Philadelphia, PA</t>
  </si>
  <si>
    <t>Yuva Bioscience</t>
  </si>
  <si>
    <t>Zinnia</t>
  </si>
  <si>
    <t>Greenwich, CT</t>
  </si>
  <si>
    <t>Zocdoc</t>
  </si>
  <si>
    <t>Zylo Therapeutics</t>
  </si>
  <si>
    <t>capSpire</t>
  </si>
  <si>
    <t>Tulsa, OK</t>
  </si>
  <si>
    <t>commonsku</t>
  </si>
  <si>
    <t>covR</t>
  </si>
  <si>
    <t>Hartford, CT</t>
  </si>
  <si>
    <t>engage fi</t>
  </si>
  <si>
    <t>gNext Labs</t>
  </si>
  <si>
    <t>goHappy</t>
  </si>
  <si>
    <t>i2O Therapeutics</t>
  </si>
  <si>
    <t>imagine.io</t>
  </si>
  <si>
    <t>mPath Health</t>
  </si>
  <si>
    <t>nCino</t>
  </si>
  <si>
    <t>siffron</t>
  </si>
  <si>
    <t>Sector_Cluster</t>
  </si>
  <si>
    <t>Manufacturing &amp; Processing</t>
  </si>
  <si>
    <t>Real Estate Services</t>
  </si>
  <si>
    <t>Clinical Research &amp; Services</t>
  </si>
  <si>
    <t>Biotechnology &amp; Pharmaceuticals</t>
  </si>
  <si>
    <t>Financial Technology &amp; Investment Services</t>
  </si>
  <si>
    <t>Education &amp; Training</t>
  </si>
  <si>
    <t>Software &amp; SaaS</t>
  </si>
  <si>
    <t>IT Services &amp; Consulting</t>
  </si>
  <si>
    <t>Agriculture Technology</t>
  </si>
  <si>
    <t>Education Technology</t>
  </si>
  <si>
    <t>Artificial Intelligence &amp; Machine Learning</t>
  </si>
  <si>
    <t>Media &amp; Entertainment Technology</t>
  </si>
  <si>
    <t>Medical Devices &amp; Technology</t>
  </si>
  <si>
    <t>Venture Capital &amp; Private Equity</t>
  </si>
  <si>
    <t>Security &amp; Cybersecurity</t>
  </si>
  <si>
    <t>America's Swimming Pool Co. (ASP)</t>
  </si>
  <si>
    <t>Environmental &amp; Sustainability</t>
  </si>
  <si>
    <t>Food &amp; Beverage Manufacturing</t>
  </si>
  <si>
    <t>Property Management &amp; Services</t>
  </si>
  <si>
    <t>Hospitality &amp; Resorts</t>
  </si>
  <si>
    <t>Transportation &amp; Logistics</t>
  </si>
  <si>
    <t>Consumer Products</t>
  </si>
  <si>
    <t>Healthcare Technology &amp; Analytics</t>
  </si>
  <si>
    <t>Automotive Services</t>
  </si>
  <si>
    <t>Human Resources Technology</t>
  </si>
  <si>
    <t>Cloud &amp; Infrastructure</t>
  </si>
  <si>
    <t>Engineering &amp; Construction Services</t>
  </si>
  <si>
    <t>Business Services</t>
  </si>
  <si>
    <t>Media &amp; Entertainment</t>
  </si>
  <si>
    <t>Restaurants &amp; Food Services</t>
  </si>
  <si>
    <t>Construction Technology</t>
  </si>
  <si>
    <t>Maritime &amp; Marine Services</t>
  </si>
  <si>
    <t>Retail &amp; E-commerce</t>
  </si>
  <si>
    <t>Marketing &amp; Advertising</t>
  </si>
  <si>
    <t>Chemicals &amp; Petrochemicals</t>
  </si>
  <si>
    <t>Brimar Industries LLC</t>
  </si>
  <si>
    <t>Nuclear &amp; Alternative Energy</t>
  </si>
  <si>
    <t>CEATI</t>
  </si>
  <si>
    <t>Energy Research &amp; Consulting</t>
  </si>
  <si>
    <t>Healthcare Services</t>
  </si>
  <si>
    <t>Hardware &amp; Equipment</t>
  </si>
  <si>
    <t>Banking &amp; Financial Institutions</t>
  </si>
  <si>
    <t>Legal Technology</t>
  </si>
  <si>
    <t>Building Materials &amp; Construction</t>
  </si>
  <si>
    <t>Renewable Energy</t>
  </si>
  <si>
    <t>Real Estate Technology</t>
  </si>
  <si>
    <t>Commonwealth Epoxy Coatings LLC</t>
  </si>
  <si>
    <t>Contego Medical LLC</t>
  </si>
  <si>
    <t>Industrial Equipment &amp; Services</t>
  </si>
  <si>
    <t>Communications Technology</t>
  </si>
  <si>
    <t>Dominion Block Brick &amp; Hardscapes</t>
  </si>
  <si>
    <t>Einstok</t>
  </si>
  <si>
    <t>EnviroTech Services Inc.</t>
  </si>
  <si>
    <t>Energy Management &amp; Trading</t>
  </si>
  <si>
    <t>Insurance &amp; InsurTech</t>
  </si>
  <si>
    <t>Travel &amp; Hospitality Services</t>
  </si>
  <si>
    <t>Automotive &amp; Transportation Equipment</t>
  </si>
  <si>
    <t>Advanced Materials</t>
  </si>
  <si>
    <t>Water &amp; Wastewater Services</t>
  </si>
  <si>
    <t>Gaming &amp; Entertainment</t>
  </si>
  <si>
    <t>Kellogg's</t>
  </si>
  <si>
    <t>Packaging &amp; Paper Products</t>
  </si>
  <si>
    <t>Mattco Forge Inc.</t>
  </si>
  <si>
    <t>Automotive Technology</t>
  </si>
  <si>
    <t>Manufacturing Technology</t>
  </si>
  <si>
    <t>Mining &amp; Extraction Technology</t>
  </si>
  <si>
    <t>Information</t>
  </si>
  <si>
    <t>Base Sector</t>
  </si>
  <si>
    <t>Mapped Target Sector</t>
  </si>
  <si>
    <t>Revenue per Employee</t>
  </si>
  <si>
    <t>Financial / Banking / Finance</t>
  </si>
  <si>
    <t>Conglomerates / Diversified Public Companies</t>
  </si>
  <si>
    <t>Consumer Non-Cyclical (defensive consumer goods, services)</t>
  </si>
  <si>
    <t>Technology (broad)</t>
  </si>
  <si>
    <t>Capital Goods / Industrials / Manufacturing-adjacent goods</t>
  </si>
  <si>
    <t>Consumer Discretionary (non-essential consumer goods/services)</t>
  </si>
  <si>
    <t>Energy (and utilities / energy-heavy sectors)</t>
  </si>
  <si>
    <t>Sector / Industry (broad)</t>
  </si>
  <si>
    <t>Approximate Revenue per Employee (RPE)</t>
  </si>
  <si>
    <t>Rev/Emp Factor</t>
  </si>
  <si>
    <t>Energy (and utilities / energy‐heavy sectors)</t>
  </si>
  <si>
    <r>
      <t>~ US$ 3.03 million per employee — top among sectors. (</t>
    </r>
    <r>
      <rPr>
        <color rgb="FF1155CC"/>
        <u/>
      </rPr>
      <t>CSI Market</t>
    </r>
    <r>
      <rPr/>
      <t>)</t>
    </r>
  </si>
  <si>
    <r>
      <t>~ US$ 1.74 million per employee. (</t>
    </r>
    <r>
      <rPr>
        <color rgb="FF1155CC"/>
        <u/>
      </rPr>
      <t>CSI Market</t>
    </r>
    <r>
      <rPr/>
      <t>)</t>
    </r>
  </si>
  <si>
    <r>
      <t>~ US$ 905,000 per employee. (</t>
    </r>
    <r>
      <rPr>
        <color rgb="FF1155CC"/>
        <u/>
      </rPr>
      <t>CSI Market</t>
    </r>
    <r>
      <rPr/>
      <t>)</t>
    </r>
  </si>
  <si>
    <t>Retail (broad retail / consumer-facing)</t>
  </si>
  <si>
    <r>
      <t>~ US$ 704,000 per employee. (</t>
    </r>
    <r>
      <rPr>
        <color rgb="FF1155CC"/>
        <u/>
      </rPr>
      <t>CSI Market</t>
    </r>
    <r>
      <rPr/>
      <t>)</t>
    </r>
  </si>
  <si>
    <r>
      <t>~ US$ 564,000 per employee. (</t>
    </r>
    <r>
      <rPr>
        <color rgb="FF1155CC"/>
        <u/>
      </rPr>
      <t>CSI Market</t>
    </r>
    <r>
      <rPr/>
      <t>)</t>
    </r>
  </si>
  <si>
    <r>
      <t>~ US$ 556,000 per employee. (</t>
    </r>
    <r>
      <rPr>
        <color rgb="FF1155CC"/>
        <u/>
      </rPr>
      <t>CSI Market</t>
    </r>
    <r>
      <rPr/>
      <t>)</t>
    </r>
  </si>
  <si>
    <r>
      <t>~ US$ 512,000 per employee. (</t>
    </r>
    <r>
      <rPr>
        <color rgb="FF1155CC"/>
        <u/>
      </rPr>
      <t>CSI Market</t>
    </r>
    <r>
      <rPr/>
      <t>)</t>
    </r>
  </si>
  <si>
    <r>
      <t>~ US$ 493,000 per employee. (</t>
    </r>
    <r>
      <rPr>
        <color rgb="FF1155CC"/>
        <u/>
      </rPr>
      <t>CSI Market</t>
    </r>
    <r>
      <rPr/>
      <t>)</t>
    </r>
  </si>
  <si>
    <r>
      <t>~ US$ 460,000 per employee. (</t>
    </r>
    <r>
      <rPr>
        <color rgb="FF1155CC"/>
        <u/>
      </rPr>
      <t>CSI Market</t>
    </r>
    <r>
      <rPr/>
      <t>)</t>
    </r>
  </si>
  <si>
    <t>PE_Firm</t>
  </si>
  <si>
    <t>Route 2 Capital Partners</t>
  </si>
  <si>
    <t>Cerity Partners</t>
  </si>
  <si>
    <t>Succession Capital Partners</t>
  </si>
  <si>
    <t>VentureSouth</t>
  </si>
  <si>
    <t>NovaQuest Capital Mgmt</t>
  </si>
  <si>
    <t>Bloomfield Partners</t>
  </si>
  <si>
    <t>Vibora Capital</t>
  </si>
  <si>
    <t>Harbright Ventures</t>
  </si>
  <si>
    <t>Pamlico Capital</t>
  </si>
  <si>
    <t>Envest Capital Partners</t>
  </si>
  <si>
    <t>Harbor Island Equity Partners</t>
  </si>
  <si>
    <t>QHP Capital</t>
  </si>
  <si>
    <t>Investors Management Corp (IMC)</t>
  </si>
  <si>
    <t>EF Capital</t>
  </si>
  <si>
    <t>South Street Partners (Charlotte)</t>
  </si>
  <si>
    <t>Carousel Capital</t>
  </si>
  <si>
    <t>Summit Park</t>
  </si>
  <si>
    <t>Eshelman Ventures, LLC</t>
  </si>
  <si>
    <t>Falfurrias Capital Partners</t>
  </si>
  <si>
    <t>Hargett Hunter</t>
  </si>
  <si>
    <t>S23 Holdings</t>
  </si>
  <si>
    <t>SharpVue Capital</t>
  </si>
  <si>
    <t>Cock Island Capital</t>
  </si>
  <si>
    <t>Blue Point Capital Partners</t>
  </si>
  <si>
    <t>Azalea Capital</t>
  </si>
  <si>
    <t>Halifax Group</t>
  </si>
  <si>
    <t>Monomoy Capital Partners</t>
  </si>
  <si>
    <t>Tidewater Equity Partners</t>
  </si>
  <si>
    <t>WJ Partners</t>
  </si>
  <si>
    <t>Frontier Growth</t>
  </si>
  <si>
    <t>Cape Fear Ventures</t>
  </si>
  <si>
    <t>Trainum Group</t>
  </si>
  <si>
    <t>Waupaca Foundry Inc.</t>
  </si>
  <si>
    <t>Category (Revised)</t>
  </si>
  <si>
    <t>Share of Companies</t>
  </si>
  <si>
    <t>Notes on Interpretation</t>
  </si>
  <si>
    <t>Hypergrowth</t>
  </si>
  <si>
    <t>Very fast hiring (+40% to +250%). Mostly AI/software/configurable tech.</t>
  </si>
  <si>
    <t>Accelerated Growth</t>
  </si>
  <si>
    <t>Strong positive growth (+15% to +40%). Healthy SaaS, cybersecurity, automation, logistics.</t>
  </si>
  <si>
    <t>Growth Phase</t>
  </si>
  <si>
    <t>The modal/middle category. Slow positive growth (+4% to +14%). Industrial services, home services, B2B services.</t>
  </si>
  <si>
    <t>Flat to Neutral</t>
  </si>
  <si>
    <t>0–3% change. Efficiency mode. Often early-stage tech, mixed services, stable industrials.</t>
  </si>
  <si>
    <t>Declining</t>
  </si>
  <si>
    <t>–1% to –20%. Mostly legacy tech, consumer packaged goods, over-levered mid-market firms.</t>
  </si>
  <si>
    <t>Severely Negative</t>
  </si>
  <si>
    <t>–25% to –50%. Failed commercial models, distressed life sciences, broken turnarounds.</t>
  </si>
  <si>
    <t>ACQUIRED (moved into its own bucket)</t>
  </si>
  <si>
    <t>Strategic sales. Mostly high-performing biotech and high-growth platforms.</t>
  </si>
  <si>
    <t>FAILED (moved into its own bucket)</t>
  </si>
  <si>
    <t>Collapsed biotech/medtech or deep-tech ventures.</t>
  </si>
  <si>
    <t>Capital-Centric (own/monetize assets &amp; balance sheet)</t>
  </si>
  <si>
    <t>Labor-Centric (sell time, expertise, services)</t>
  </si>
  <si>
    <t>Essential / Non-Disc.</t>
  </si>
  <si>
    <t>Q1 – “Infrastructure Bankers”Utilities, mega-banks, core infra, cloud/AI infra, pipelines, core healthcare</t>
  </si>
  <si>
    <t>Q2 – “Critical Services Under Pressure”Hospitals, schools, gov admin, compliance, some logistics ops</t>
  </si>
  <si>
    <t>Discretionary</t>
  </si>
  <si>
    <t>Q3 – “Cyclical Asset Plays”Hotels, airlines, high-end real estate, autos, shipping, some consumer finance</t>
  </si>
  <si>
    <t>Q4 – “Transformation &amp; Nice-to-Haves”IT services, management consulting, staffing, marketing agencies, non-essential BPO</t>
  </si>
  <si>
    <t>Grand Total</t>
  </si>
  <si>
    <t xml:space="preserve">COUNTA of </t>
  </si>
  <si>
    <t>Interest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</si>
</sst>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h:mm am/pm"/>
    <numFmt numFmtId="166" formatCode="m-d"/>
  </numFmts>
  <fonts count="11">
    <font>
      <sz val="10.0"/>
      <color rgb="FF000000"/>
      <name val="Arial"/>
      <scheme val="minor"/>
    </font>
    <font>
      <b/>
      <color theme="1"/>
      <name val="Roboto"/>
    </font>
    <font>
      <sz val="26.0"/>
      <color theme="1"/>
      <name val="Roboto"/>
    </font>
    <font>
      <color theme="1"/>
      <name val="Roboto"/>
    </font>
    <font>
      <color theme="1"/>
      <name val="Arial"/>
      <scheme val="minor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b/>
      <color theme="1"/>
      <name val="Arial"/>
      <scheme val="minor"/>
    </font>
    <font>
      <u/>
      <color rgb="FF0000FF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EF8E3"/>
        <bgColor rgb="FFFEF8E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readingOrder="0" vertical="center"/>
    </xf>
    <xf borderId="0" fillId="0" fontId="1" numFmtId="0" xfId="0" applyAlignment="1" applyFont="1">
      <alignment horizontal="center" readingOrder="0" shrinkToFit="0" wrapText="1"/>
    </xf>
    <xf borderId="0" fillId="0" fontId="1" numFmtId="164" xfId="0" applyAlignment="1" applyFont="1" applyNumberFormat="1">
      <alignment horizontal="center" readingOrder="0" shrinkToFit="0" wrapText="1"/>
    </xf>
    <xf borderId="0" fillId="0" fontId="3" numFmtId="0" xfId="0" applyFont="1"/>
    <xf borderId="0" fillId="2" fontId="1" numFmtId="0" xfId="0" applyAlignment="1" applyFill="1" applyFont="1">
      <alignment readingOrder="0" shrinkToFit="0" wrapText="1"/>
    </xf>
    <xf borderId="1" fillId="2" fontId="1" numFmtId="0" xfId="0" applyAlignment="1" applyBorder="1" applyFont="1">
      <alignment horizontal="left" readingOrder="0" shrinkToFit="0" wrapText="1"/>
    </xf>
    <xf borderId="1" fillId="2" fontId="1" numFmtId="0" xfId="0" applyAlignment="1" applyBorder="1" applyFont="1">
      <alignment readingOrder="0" shrinkToFit="0" wrapText="1"/>
    </xf>
    <xf borderId="1" fillId="2" fontId="1" numFmtId="0" xfId="0" applyAlignment="1" applyBorder="1" applyFont="1">
      <alignment horizontal="center" readingOrder="0" shrinkToFit="0" wrapText="1"/>
    </xf>
    <xf borderId="1" fillId="2" fontId="1" numFmtId="164" xfId="0" applyAlignment="1" applyBorder="1" applyFont="1" applyNumberFormat="1">
      <alignment horizontal="center" readingOrder="0" shrinkToFit="0" wrapText="1"/>
    </xf>
    <xf borderId="0" fillId="2" fontId="3" numFmtId="0" xfId="0" applyFont="1"/>
    <xf borderId="1" fillId="3" fontId="3" numFmtId="0" xfId="0" applyAlignment="1" applyBorder="1" applyFill="1" applyFont="1">
      <alignment readingOrder="0" shrinkToFit="0" wrapText="1"/>
    </xf>
    <xf borderId="1" fillId="3" fontId="3" numFmtId="0" xfId="0" applyAlignment="1" applyBorder="1" applyFont="1">
      <alignment horizontal="left" readingOrder="0" shrinkToFit="0" wrapText="1"/>
    </xf>
    <xf borderId="1" fillId="3" fontId="4" numFmtId="0" xfId="0" applyAlignment="1" applyBorder="1" applyFont="1">
      <alignment readingOrder="0"/>
    </xf>
    <xf borderId="1" fillId="3" fontId="3" numFmtId="0" xfId="0" applyAlignment="1" applyBorder="1" applyFont="1">
      <alignment horizontal="center" readingOrder="0"/>
    </xf>
    <xf borderId="1" fillId="3" fontId="3" numFmtId="164" xfId="0" applyAlignment="1" applyBorder="1" applyFont="1" applyNumberFormat="1">
      <alignment horizontal="center" readingOrder="0"/>
    </xf>
    <xf borderId="1" fillId="3" fontId="3" numFmtId="9" xfId="0" applyAlignment="1" applyBorder="1" applyFont="1" applyNumberFormat="1">
      <alignment horizontal="center" readingOrder="0"/>
    </xf>
    <xf borderId="1" fillId="3" fontId="3" numFmtId="0" xfId="0" applyAlignment="1" applyBorder="1" applyFont="1">
      <alignment shrinkToFit="0" wrapText="1"/>
    </xf>
    <xf borderId="0" fillId="3" fontId="3" numFmtId="0" xfId="0" applyFont="1"/>
    <xf borderId="1" fillId="4" fontId="3" numFmtId="0" xfId="0" applyAlignment="1" applyBorder="1" applyFill="1" applyFont="1">
      <alignment readingOrder="0" shrinkToFit="0" wrapText="1"/>
    </xf>
    <xf borderId="1" fillId="4" fontId="5" numFmtId="0" xfId="0" applyAlignment="1" applyBorder="1" applyFont="1">
      <alignment horizontal="left" readingOrder="0" shrinkToFit="0" wrapText="1"/>
    </xf>
    <xf borderId="1" fillId="4" fontId="4" numFmtId="0" xfId="0" applyAlignment="1" applyBorder="1" applyFont="1">
      <alignment readingOrder="0"/>
    </xf>
    <xf borderId="1" fillId="4" fontId="3" numFmtId="0" xfId="0" applyAlignment="1" applyBorder="1" applyFont="1">
      <alignment horizontal="center" readingOrder="0"/>
    </xf>
    <xf borderId="1" fillId="4" fontId="3" numFmtId="164" xfId="0" applyAlignment="1" applyBorder="1" applyFont="1" applyNumberFormat="1">
      <alignment horizontal="center" readingOrder="0"/>
    </xf>
    <xf borderId="1" fillId="4" fontId="3" numFmtId="9" xfId="0" applyAlignment="1" applyBorder="1" applyFont="1" applyNumberFormat="1">
      <alignment horizontal="center" readingOrder="0"/>
    </xf>
    <xf borderId="1" fillId="4" fontId="3" numFmtId="0" xfId="0" applyAlignment="1" applyBorder="1" applyFont="1">
      <alignment shrinkToFit="0" wrapText="1"/>
    </xf>
    <xf borderId="0" fillId="4" fontId="3" numFmtId="0" xfId="0" applyFont="1"/>
    <xf borderId="1" fillId="3" fontId="3" numFmtId="165" xfId="0" applyAlignment="1" applyBorder="1" applyFont="1" applyNumberFormat="1">
      <alignment horizontal="left" readingOrder="0" shrinkToFit="0" wrapText="1"/>
    </xf>
    <xf borderId="1" fillId="3" fontId="3" numFmtId="166" xfId="0" applyAlignment="1" applyBorder="1" applyFont="1" applyNumberFormat="1">
      <alignment horizontal="center" readingOrder="0"/>
    </xf>
    <xf borderId="1" fillId="4" fontId="3" numFmtId="0" xfId="0" applyAlignment="1" applyBorder="1" applyFont="1">
      <alignment horizontal="left" readingOrder="0" shrinkToFit="0" wrapText="1"/>
    </xf>
    <xf borderId="1" fillId="4" fontId="3" numFmtId="166" xfId="0" applyAlignment="1" applyBorder="1" applyFont="1" applyNumberFormat="1">
      <alignment horizontal="center" readingOrder="0"/>
    </xf>
    <xf borderId="1" fillId="3" fontId="3" numFmtId="0" xfId="0" applyAlignment="1" applyBorder="1" applyFont="1">
      <alignment readingOrder="0"/>
    </xf>
    <xf borderId="1" fillId="4" fontId="6" numFmtId="0" xfId="0" applyAlignment="1" applyBorder="1" applyFont="1">
      <alignment horizontal="left" readingOrder="0" shrinkToFit="0" wrapText="1"/>
    </xf>
    <xf borderId="1" fillId="4" fontId="3" numFmtId="0" xfId="0" applyAlignment="1" applyBorder="1" applyFont="1">
      <alignment readingOrder="0"/>
    </xf>
    <xf borderId="1" fillId="4" fontId="3" numFmtId="3" xfId="0" applyAlignment="1" applyBorder="1" applyFont="1" applyNumberFormat="1">
      <alignment horizontal="center" readingOrder="0"/>
    </xf>
    <xf borderId="1" fillId="4" fontId="3" numFmtId="0" xfId="0" applyAlignment="1" applyBorder="1" applyFont="1">
      <alignment readingOrder="0" shrinkToFit="0" vertical="center" wrapText="1"/>
    </xf>
    <xf borderId="1" fillId="4" fontId="3" numFmtId="0" xfId="0" applyAlignment="1" applyBorder="1" applyFont="1">
      <alignment horizontal="left" readingOrder="0" shrinkToFit="0" vertical="center" wrapText="1"/>
    </xf>
    <xf borderId="1" fillId="4" fontId="3" numFmtId="0" xfId="0" applyAlignment="1" applyBorder="1" applyFont="1">
      <alignment horizontal="center" readingOrder="0" vertical="center"/>
    </xf>
    <xf borderId="1" fillId="4" fontId="3" numFmtId="9" xfId="0" applyAlignment="1" applyBorder="1" applyFont="1" applyNumberFormat="1">
      <alignment horizontal="center" readingOrder="0" vertical="center"/>
    </xf>
    <xf borderId="1" fillId="3" fontId="3" numFmtId="0" xfId="0" applyAlignment="1" applyBorder="1" applyFont="1">
      <alignment horizontal="center" readingOrder="0" shrinkToFit="0" wrapText="1"/>
    </xf>
    <xf borderId="1" fillId="4" fontId="3" numFmtId="0" xfId="0" applyAlignment="1" applyBorder="1" applyFont="1">
      <alignment horizontal="center" readingOrder="0" shrinkToFit="0" wrapText="1"/>
    </xf>
    <xf borderId="1" fillId="4" fontId="3" numFmtId="9" xfId="0" applyAlignment="1" applyBorder="1" applyFont="1" applyNumberFormat="1">
      <alignment horizontal="center" readingOrder="0" shrinkToFit="0" wrapText="1"/>
    </xf>
    <xf borderId="1" fillId="3" fontId="3" numFmtId="166" xfId="0" applyAlignment="1" applyBorder="1" applyFont="1" applyNumberFormat="1">
      <alignment horizontal="center" readingOrder="0" shrinkToFit="0" wrapText="1"/>
    </xf>
    <xf borderId="1" fillId="3" fontId="3" numFmtId="9" xfId="0" applyAlignment="1" applyBorder="1" applyFont="1" applyNumberFormat="1">
      <alignment horizontal="center" readingOrder="0" shrinkToFit="0" wrapText="1"/>
    </xf>
    <xf borderId="1" fillId="3" fontId="7" numFmtId="0" xfId="0" applyAlignment="1" applyBorder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1" fillId="0" fontId="3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5" xfId="0" applyAlignment="1" applyFont="1" applyNumberFormat="1">
      <alignment readingOrder="0"/>
    </xf>
    <xf borderId="1" fillId="0" fontId="8" numFmtId="0" xfId="0" applyAlignment="1" applyBorder="1" applyFont="1">
      <alignment horizontal="left"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8" numFmtId="0" xfId="0" applyAlignment="1" applyBorder="1" applyFont="1">
      <alignment readingOrder="0" shrinkToFit="0" wrapText="1"/>
    </xf>
    <xf borderId="0" fillId="0" fontId="4" numFmtId="0" xfId="0" applyAlignment="1" applyFont="1">
      <alignment shrinkToFit="0" wrapText="1"/>
    </xf>
    <xf borderId="1" fillId="0" fontId="4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horizontal="center" readingOrder="0" shrinkToFit="0" wrapText="1"/>
    </xf>
    <xf borderId="0" fillId="0" fontId="10" numFmtId="0" xfId="0" applyAlignment="1" applyFont="1">
      <alignment readingOrder="0"/>
    </xf>
    <xf borderId="1" fillId="0" fontId="3" numFmtId="0" xfId="0" applyAlignment="1" applyBorder="1" applyFont="1">
      <alignment horizontal="left" readingOrder="0" shrinkToFit="0" wrapText="1"/>
    </xf>
    <xf borderId="0" fillId="0" fontId="8" numFmtId="0" xfId="0" applyAlignment="1" applyFont="1">
      <alignment horizontal="center" readingOrder="0"/>
    </xf>
    <xf borderId="1" fillId="0" fontId="8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readingOrder="0" shrinkToFit="0" wrapText="1"/>
    </xf>
    <xf borderId="1" fillId="0" fontId="4" numFmtId="9" xfId="0" applyAlignment="1" applyBorder="1" applyFont="1" applyNumberForma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right" readingOrder="0" shrinkToFit="0" vertical="center" wrapText="1"/>
    </xf>
    <xf borderId="1" fillId="0" fontId="3" numFmtId="0" xfId="0" applyAlignment="1" applyBorder="1" applyFont="1">
      <alignment readingOrder="0" shrinkToFit="0" wrapText="1"/>
    </xf>
    <xf borderId="0" fillId="0" fontId="4" numFmtId="0" xfId="0" applyFont="1"/>
    <xf borderId="1" fillId="0" fontId="4" numFmtId="0" xfId="0" applyBorder="1" applyFont="1"/>
    <xf borderId="1" fillId="0" fontId="4" numFmtId="0" xfId="0" applyAlignment="1" applyBorder="1" applyFont="1">
      <alignment shrinkToFit="0" wrapText="1"/>
    </xf>
    <xf borderId="1" fillId="0" fontId="8" numFmtId="0" xfId="0" applyAlignment="1" applyBorder="1" applyFont="1">
      <alignment horizontal="center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Summary Statistic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pivotCacheDefinition" Target="pivotCache/pivotCacheDefinition1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180975</xdr:rowOff>
    </xdr:from>
    <xdr:ext cx="781050" cy="781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1:F982" sheet="2026 | Southeast LMM Portco per"/>
  </cacheSource>
  <cacheFields>
    <cacheField name=" ">
      <sharedItems containsDate="1" containsBlank="1" containsMixedTypes="1">
        <s v="Company"/>
        <s v="3P Processing"/>
        <s v="4CRisk"/>
        <d v="1899-12-30T06:00:00Z"/>
        <s v="A1 Sewer &amp; Drain"/>
        <s v="AFS Foundation &amp; Waterproofing Specialists"/>
        <s v="APPROVE (KWIPPED)"/>
        <s v="ARA"/>
        <s v="Acclinate"/>
        <s v="Aceragen"/>
        <s v="Acomhal Research"/>
        <s v="Acorns"/>
        <s v="ActivEd (Walkabouts)"/>
        <s v="Adovate"/>
        <s v="Argano (fmr: Advanced Global Resources)"/>
        <s v="AgTechInventures"/>
        <s v="Agilix"/>
        <s v="Agolo"/>
        <s v="Airwavz"/>
        <s v="Aiwyn"/>
        <s v="Alimetry"/>
        <s v="Allegion Ventures"/>
        <s v="Alloy"/>
        <s v="Altis Biosystems"/>
        <s v="Ambient.ai"/>
        <s v="America’s Swimming Pool Co. (ASP)"/>
        <s v="AmplifiedAg"/>
        <s v="Amulet Pharmaceuticals"/>
        <s v="Anduril"/>
        <s v="Animoca Brands"/>
        <s v="Apollo AI"/>
        <s v="AppRiver (exit)"/>
        <s v="Applied StemCell"/>
        <s v="Apprentice"/>
        <s v="AquaGuard Foundation Solutions"/>
        <s v="Aquipor"/>
        <s v="Arcadia Beverage"/>
        <s v="Arcadia Property Services"/>
        <s v="Arctic Wolf"/>
        <s v="Argenta"/>
        <s v="Arizona Biltmore"/>
        <s v="Armstrong Transport Group"/>
        <s v="Artesian Spas"/>
        <s v="Artifact Uprising"/>
        <s v="Artivon"/>
        <s v="Aruna Bio"/>
        <s v="Arvelle Therapeutics"/>
        <s v="Asaak"/>
        <s v="Assemble"/>
        <s v="AssetWatch"/>
        <s v="Astroforge"/>
        <s v="Athennian"/>
        <s v="Atom Tickets"/>
        <s v="Atomwise"/>
        <s v="Atropos Health"/>
        <s v="Atticus Pharma"/>
        <s v="Authentic Auto Body"/>
        <s v="AutoCruitment"/>
        <s v="Auven Therapeutics"/>
        <s v="Avant"/>
        <s v="Aviatrix"/>
        <s v="Axim Geospatial (now NV5)"/>
        <s v="Azurity"/>
        <s v="BIOS"/>
        <s v="BNI Global"/>
        <s v="BOOM Fantasy"/>
        <s v="BOOM! Studios"/>
        <s v="Babylon Micro-Farms"/>
        <s v="Bacari"/>
        <s v="Baebies"/>
        <s v="BallerTV"/>
        <s v="Barnsley Resort"/>
        <s v="Barton Watch Bands"/>
        <s v="Base"/>
        <s v="Basho Technologies"/>
        <s v="Beck Technology"/>
        <s v="Becker's Healthcare"/>
        <s v="Bellagreen"/>
        <s v="Bend Bioscience (fka CoreRx)"/>
        <s v="BigDot of Happiness"/>
        <s v="BioAesthetics"/>
        <s v="Bizwiz"/>
        <s v="Blue Ridge Maritime"/>
        <s v="Blue Ridge Mountain Rentals"/>
        <s v="Bookelicious"/>
        <s v="Bosscat (formerly PunchListUSA)"/>
        <s v="Boxabl"/>
        <s v="Brainlabs"/>
        <s v="Braskem"/>
        <s v="BreachRx"/>
        <s v="Brex"/>
        <s v="Bright Greens"/>
        <s v="Brimar Industries, LLC"/>
        <s v="BrittleBrittle"/>
        <s v="Bublish"/>
        <s v="BDG (Bustle Digital Group)"/>
        <s v="CBT Logistics Group"/>
        <s v="CDL Nuclear"/>
        <s v="CEATI "/>
        <s v="CHEKHub"/>
        <s v="CIH"/>
        <s v="COPILOT"/>
        <s v="Cabinet"/>
        <s v="CadChat"/>
        <s v="Cafe Patachon"/>
        <s v="Cajun Steamer"/>
        <s v="Calient Technologies"/>
        <s v="California Cryobank"/>
        <s v="Canela.TV"/>
        <s v="Cannon Roofing"/>
        <s v="Carbon"/>
        <s v="Carolina Alliance Bank"/>
        <s v="Carolina Foods"/>
        <s v="Carputty"/>
        <s v="Case"/>
        <s v="Case Status"/>
        <s v="Casetext"/>
        <s v="Cast-Crete"/>
        <s v="Catalina"/>
        <s v="Catalyst Clinical Research"/>
        <s v="Warhorse Cyber (fmr Cavalry)"/>
        <s v="Cedar Point Club"/>
        <s v="Cencora"/>
        <s v="Cequence"/>
        <s v="Cerevel"/>
        <s v="Cerillo"/>
        <s v="Ceto"/>
        <s v="Chamberlain Coffee"/>
        <s v="Chance Legal"/>
        <s v="Chargeback Gurus"/>
        <s v="Checkr"/>
        <s v="Lofty (fmr Chime)"/>
        <s v="Chop Shop"/>
        <s v="Circ"/>
        <s v="Circle Media"/>
        <s v="ClarisHealth"/>
        <s v="Clinical Ink"/>
        <s v="Coastal Bank &amp; Trust"/>
        <s v="Colorcon"/>
        <s v="Comfort Keepers"/>
        <s v="Commonwealth Epoxy Coatings, LLC"/>
        <s v="Compass MSP"/>
        <s v="Complete Basement Systems"/>
        <s v="ConCntric"/>
        <s v="Confidence / GaBBY Bows"/>
        <s v="Confidential Live Events Company"/>
        <s v="Consolidated Precision Products Corp."/>
        <s v="ConstructTech"/>
        <s v="Contego Medical, LLC"/>
        <s v="ConvertIT Internet Marketing"/>
        <s v="Coros"/>
        <s v="Covenant"/>
        <s v="Coworks"/>
        <s v="CraneWorks"/>
        <s v="CrewOne Productions"/>
        <s v="Crosslake Technologies"/>
        <s v="Curbio"/>
        <s v="Curion"/>
        <s v="CytoRecovery"/>
        <s v="DART"/>
        <s v="DX Electric"/>
        <s v="Darby"/>
        <s v="Datos Insights"/>
        <s v="Debut"/>
        <s v="DeepBlue"/>
        <s v="Delee"/>
        <s v="Dermavant"/>
        <s v="Detrapel"/>
        <s v="Dialpad"/>
        <s v="Dignify Therapeutics"/>
        <s v="Direct Color Systems"/>
        <s v="Discord"/>
        <s v="Dominion Block, Brick &amp; Hardscapes"/>
        <s v="DraftWise"/>
        <s v="Drew Foam Companies"/>
        <s v="Drone Racing League"/>
        <s v="EDGE Industrial Technologies"/>
        <s v="EF Capital Holdings"/>
        <s v="EarthOptics"/>
        <s v="EdLogics"/>
        <s v="Edge Impulse"/>
        <s v="Edsal Manufacturing"/>
        <s v="Eggs Up Grill"/>
        <s v="Einstök"/>
        <s v="Electronic Lab Logs"/>
        <s v="Elevaris"/>
        <s v="Elevation Hotel &amp; Spa"/>
        <s v="Eleven Sports"/>
        <s v="Elliott Aviation"/>
        <s v="Elysion"/>
        <s v="Emergo Therapeutics"/>
        <s v="Emrgy"/>
        <s v="EnviCor Enterprises"/>
        <s v="EnviroTech Services, Inc."/>
        <s v="Epic Games"/>
        <s v="Equilibrium Energy"/>
        <s v="Ethos"/>
        <s v="Evercam"/>
        <s v="Everly Health"/>
        <s v="Exabeam"/>
        <s v="Exacta Land Surveyors"/>
        <s v="Eximis Surgical"/>
        <s v="Expedited Travel"/>
        <s v="FM Expressions"/>
        <s v="Fabric8Labs"/>
        <s v="Familia Dental"/>
        <s v="Farmstead at Long Meadow Ranch"/>
        <s v="Fashivly"/>
        <s v="Fenris Digital"/>
        <s v="Fibrix Filtration"/>
        <s v="FibroGen"/>
        <s v="Fleet Feet"/>
        <s v="Flux Hybrids"/>
        <s v="Flexport"/>
        <s v="Groundworks (fmr Florida Foundation Authority)"/>
        <s v="Flow Labs"/>
        <s v="Foundation Recovery Systems"/>
        <s v="Foundation Repair of Western Colorado"/>
        <s v="Foundation Systems of Michigan"/>
        <s v="Freedom Electronics"/>
        <s v="Fumex Air Filtration"/>
        <s v="GPS Air"/>
        <s v="Gallant"/>
        <s v="Gauzy"/>
        <s v="Geli"/>
        <s v="Genesis Biocapital"/>
        <s v="Givebacks (MemberHub)"/>
        <s v="Glenn Industrial Group"/>
        <s v="GoPivot"/>
        <s v="Golden Corral"/>
        <s v="Gooten"/>
        <s v="Gradient Health"/>
        <s v="Grata"/>
        <s v="Gravitate"/>
        <s v="Greenlight"/>
        <s v="GrowSquares"/>
        <s v="Grunenthal"/>
        <s v="Halo (Acquired by symplr)"/>
        <s v="Handi Quilter"/>
        <s v="Handoff AI"/>
        <s v="Hansa Biopharma"/>
        <s v="HappyCo"/>
        <s v="Harmar"/>
        <s v="Healthycell"/>
        <s v="Hedge"/>
        <s v="HelioCampus"/>
        <s v="HelloPackage"/>
        <s v="Hi Tek Data"/>
        <s v="HopDrive"/>
        <s v="Hospira"/>
        <s v="HqO"/>
        <s v="HudsonMX"/>
        <s v="Hylaine"/>
        <s v="IDEA Fund Partners"/>
        <s v="IMC"/>
        <s v="INX"/>
        <s v="Pass It Down (fmr Iconic Moments)"/>
        <s v="InRule Technology"/>
        <s v="InTech Aerospace"/>
        <s v="Incyclix Bio"/>
        <s v="Independence Materials Group (IMG)"/>
        <s v="Indiana Foundation Service"/>
        <s v="InformedDNA"/>
        <s v="Infusd Nutrition"/>
        <s v="Innovative Basement Authority"/>
        <s v="Interplay Learning"/>
        <s v="Intrepid Mission Driven Solutions"/>
        <s v="Invicta Water"/>
        <s v="Invoy"/>
        <s v="JES Evergreen"/>
        <s v="JES Foundation Repair"/>
        <s v="JK Findings"/>
        <s v="Jackpocket"/>
        <s v="Jane"/>
        <s v="Japs-Olson"/>
        <s v="Joe Tools"/>
        <s v="Jones Naturals"/>
        <s v="Jumo Health"/>
        <s v="Jupiter Bioventures"/>
        <s v="K38 Baja"/>
        <s v="KIYATEC"/>
        <s v="KOMO Biosciences"/>
        <s v="Kasa"/>
        <s v="Kauffman Engineering"/>
        <s v="Kellogg’s"/>
        <s v="Key Data Dashboard"/>
        <s v="Kiawah Partners"/>
        <s v="Kin"/>
        <s v="KneeVoice"/>
        <s v="Kraken"/>
        <s v="Kuli Kuli"/>
        <s v="LMNT"/>
        <s v="Lafayette Instrument"/>
        <s v="Landscapers Supply"/>
        <s v="Latchel"/>
        <s v="LawGeex"/>
        <s v="Ledge"/>
        <s v="Legacy Data Access"/>
        <s v="Legacy Partners"/>
        <s v="Leghorn Investments"/>
        <s v="Level.Agency"/>
        <s v="Lexitas"/>
        <s v="Liberty Safe"/>
        <s v="LinkSquares"/>
        <s v="Liquid Death"/>
        <s v="Live.Eat.Surf"/>
        <s v="Local Hive"/>
        <s v="Low Falls Wholesale Nursery"/>
        <s v="Lumata Health"/>
        <s v="Luminelle (UVision360)"/>
        <s v="Luminoah"/>
        <s v="Lupin"/>
        <s v="MI RNA"/>
        <s v="MOXFIVE"/>
        <s v="MP Cloud Technologies"/>
        <s v="Mac Papers + Packaging"/>
        <s v="Mapped"/>
        <s v="Maragame Udon"/>
        <s v="Marine Floats"/>
        <s v="Market Leader"/>
        <s v="Mattco Forge, Inc."/>
        <s v="Mattoboard"/>
        <s v="MaxxSonics"/>
        <s v="Maybe"/>
        <s v="McCorquodale Transfer"/>
        <s v="McKenzie Global Creative Brands"/>
        <s v="Med Aditus"/>
        <s v="MemberMax"/>
        <s v="Mend"/>
        <s v="Mesoblast"/>
        <s v="Michelli Weighing &amp; Measurement"/>
        <s v="Microcall"/>
        <s v="Milestone Tech"/>
        <s v="Mileutis"/>
        <s v="Millennia"/>
        <s v="Milsco"/>
        <s v="Mimosa Bay"/>
        <s v="Minna"/>
        <s v="Mint House"/>
        <s v="MinuteMedia"/>
        <s v="Modern Milkman"/>
        <s v="Modern Ritual"/>
        <s v="Mojio"/>
        <s v="Monument Advocacy"/>
        <s v="Mount Valley Foundation Services"/>
        <s v="Mundi Pharma"/>
        <s v="My Code"/>
        <s v="MycoTechnology"/>
        <s v="Mycovia Pharmaceuticals"/>
        <s v="Myndlift"/>
        <s v="Myovant"/>
        <s v="NEOGOV"/>
        <s v="NPI Financial"/>
        <s v="Naples Grande Beach Resort"/>
        <s v="Napolese"/>
        <s v="National Electronic Alloys"/>
        <s v="National Safety Apparel"/>
        <s v="NaturX"/>
        <s v="Nav.it"/>
        <s v="Neighborly Software"/>
        <s v="Net Base Quid"/>
        <s v="Netskope"/>
        <s v="Neuspera"/>
        <s v="Nevakar"/>
        <s v="New York Butcher Shoppe"/>
        <s v="NewBridge Bank"/>
        <s v="Niricson"/>
        <s v="Novome Biotechnologies"/>
        <s v="O.R. Colan Associates"/>
        <s v="O2X Human Performance"/>
        <s v="Oath Pizza"/>
        <s v="Oddball"/>
        <s v="Oden Technologies"/>
        <s v="Office Practicum"/>
        <s v="Ohanifi"/>
        <s v="Ohio Basement Authority"/>
        <s v="Olive Tree People"/>
        <s v="Oliver Packaging &amp; Equipment"/>
        <s v="Olympus"/>
        <s v="On Target Labs"/>
        <s v="OnSight Industries"/>
        <s v="One Digital Trust"/>
        <s v="One Hour Heating &amp; Air Conditioning"/>
        <s v="Openpath"/>
        <s v="Opus Medical"/>
        <s v="Osborn"/>
        <s v="Oscilla Power"/>
        <s v="Overstory"/>
        <s v="PGA National Resort"/>
        <s v="PGF Tech"/>
        <s v="PLU Opthamaltic"/>
        <s v="PROTECT3D"/>
        <s v="PRTI"/>
        <s v="PSAI"/>
        <s v="Pacegenix"/>
        <s v="Paladin Cloud"/>
        <s v="Palmetto Adhesives"/>
        <s v="Palmetto Bluff"/>
        <s v="Palmetto Infusion Services"/>
        <s v="Pandoodle"/>
        <s v="Pano"/>
        <s v="Papa Johns"/>
        <s v="Paradigm Therapeutics"/>
        <s v="PeerNova"/>
        <s v="Personify"/>
        <s v="PetVisor"/>
        <s v="Petite Chou"/>
        <s v="Pfizer"/>
        <s v="Phathom Pharmaceuticals"/>
        <s v="Phinite"/>
        <s v="Phoenix Molecular Designs"/>
        <s v="Phononic"/>
        <s v="Pickle Juice"/>
        <s v="Piedmont Beverage Company"/>
        <s v="Pindrop"/>
        <s v="Plantd"/>
        <s v="Plantible"/>
        <s v="Plotlogic"/>
        <s v="Plum Print"/>
        <s v="Pointivo"/>
        <s v="Powerhouse Brands"/>
        <s v="PragmatIC"/>
        <s v="Precision"/>
        <s v="Precision AI"/>
        <s v="Pro-ficiency"/>
        <s v="ProAxion"/>
        <s v="Process Barron"/>
        <s v="ProctorFree"/>
        <s v="Profisee"/>
        <s v="Prospect"/>
        <s v="Protera"/>
        <s v="Pupco"/>
        <s v="QMotion"/>
        <s v="Quality Automotive Services"/>
        <s v="Qualtrax (now IdeaGen)"/>
        <s v="RB Fire United"/>
        <s v="RIOS Intelligent Machines"/>
        <s v="Rainbow International Restoration"/>
        <s v="RapidAI"/>
        <s v="Raven"/>
        <s v="ReAlta Life Sciences"/>
        <s v="Redbud Labs"/>
        <s v="Region Rents"/>
        <s v="Relativity"/>
        <s v="Reliance Aircraft International"/>
        <s v="Reliance Partners"/>
        <s v="Rem3dy Health"/>
        <s v="Rentberry"/>
        <s v="Residences at Salamander"/>
        <s v="Revance"/>
        <s v="Reveal"/>
        <s v="Revive Superfoods"/>
        <s v="Right at Home"/>
        <s v="Ripple"/>
        <s v="River Port LLC"/>
        <s v="Roadrunner Recycling"/>
        <s v="Robin"/>
        <s v="Roebuck Landscaping"/>
        <s v="Roivant"/>
        <s v="Roofstock"/>
        <s v="Roots Automation"/>
        <s v="Rubrik"/>
        <s v="RuffleButts"/>
        <s v="Rugged Solutions America"/>
        <s v="Russell Hendrix Foodservice Equipment"/>
        <s v="SPG"/>
        <s v="Sabanto"/>
        <s v="Said Differently"/>
        <s v="Samara Aerospace"/>
        <s v="Sanofi"/>
        <s v="Sapience Therapeutics"/>
        <s v="Sawgrass Marriott"/>
        <s v="Scalable Systems"/>
        <s v="Scout"/>
        <s v="Seafarer Exploration"/>
        <s v="Seal the Seasons"/>
        <s v="Sebela Pharmaceuticals Inc."/>
        <s v="Sempre Health"/>
        <s v="Sensory Analytics"/>
        <s v="Serenity EHS"/>
        <s v="Servosity"/>
        <s v="Setcom"/>
        <s v="Sewer A.I."/>
        <s v="Shark Wheel"/>
        <s v="Sharpen"/>
        <s v="Shionogi"/>
        <s v="ShipBob"/>
        <s v="SignalWire"/>
        <s v="Siren Snacks"/>
        <s v="Skillsmaker.ai"/>
        <s v="Snak King"/>
        <s v="Socket &amp; IdeaTek"/>
        <s v="Soelect"/>
        <s v="Solestra Group"/>
        <s v="Sono Vascular"/>
        <s v="South Atlantic Contract Packaging"/>
        <s v="SouthEast Land Management"/>
        <s v="Southeast TechInventures"/>
        <s v="Southern Exteriors"/>
        <s v="Spectro Cloud"/>
        <s v="SpendHQ"/>
        <s v="Spiffy"/>
        <s v="Sprockets"/>
        <s v="StableDry Services"/>
        <s v="Stacked"/>
        <s v="SteadyMD"/>
        <s v="Steno"/>
        <s v="Stinger"/>
        <s v="Storelli"/>
        <s v="Strata Education Group"/>
        <s v="Stripe"/>
        <s v="Stuf"/>
        <s v="Sugarfina"/>
        <s v="Super Home Services"/>
        <s v="SuperBetter"/>
        <s v="Supermoon"/>
        <s v="Synergy ECP"/>
        <s v="Syntis"/>
        <s v="TEGNA"/>
        <s v="TManagement"/>
        <s v="Taali"/>
        <s v="Taco Bamba"/>
        <s v="Takeda"/>
        <s v="Talent Management LLC"/>
        <s v="Tar Heel Basement Systems"/>
        <s v="Targan"/>
        <s v="Technical Coating International (TCI)"/>
        <s v="Tellus Therapeutics"/>
        <s v="TendoNova"/>
        <s v="Tesseract"/>
        <s v="TextIQ"/>
        <s v="The Cliffs"/>
        <s v="The King and Prince"/>
        <s v="The Liberty Group"/>
        <s v="The Outline"/>
        <s v="The Virginia Food Group"/>
        <s v="Thetford"/>
        <s v="Thornhill Therapeutics"/>
        <s v="Three Wishes"/>
        <s v="Thrust Flight"/>
        <s v="Timeplast"/>
        <s v="Topix"/>
        <s v="Tower7"/>
        <s v="Traction AG"/>
        <s v="Tradition Brewing Co"/>
        <s v="Training The Street"/>
        <s v="Tranium Group (minority investors)"/>
        <s v="Transect"/>
        <s v="Transtar Holding Company"/>
        <s v="Treis Blockchain"/>
        <s v="Trilio"/>
        <s v="Trio Labs"/>
        <s v="Trudy's"/>
        <s v="Trust &amp; Will"/>
        <s v="Truvant"/>
        <s v="Trym"/>
        <s v="Tube Bending"/>
        <s v="Tubi"/>
        <s v="Turo"/>
        <s v="U.S. Endo Partners"/>
        <s v="UAC"/>
        <s v="US Eye"/>
        <s v="Ucan"/>
        <s v="Unearth"/>
        <s v="Universal Diagnostics"/>
        <s v="Univo IRB"/>
        <s v="Upshift"/>
        <s v="Urban SDK"/>
        <s v="VQ Biomedical"/>
        <s v="VRC Engineered Solutions"/>
        <s v="Valtir"/>
        <s v="Venture Count"/>
        <s v="VergeSense"/>
        <s v="VeriSIM Life"/>
        <s v="VeriSolutions"/>
        <s v="Veson Nautical"/>
        <s v="Virgo"/>
        <s v="Vitrek"/>
        <s v="Vizbee"/>
        <s v="Voxel"/>
        <s v="Warwick Maritime"/>
        <s v="Waupaca Foundry, Inc."/>
        <s v="Waverton Wealth"/>
        <s v="Wealthbox"/>
        <s v="Wellbox"/>
        <s v="Whimstay"/>
        <s v="Wilmington Pharmaceuticals"/>
        <s v="Won't Stop Hospitality"/>
        <s v="World 50"/>
        <s v="Woven Solutions"/>
        <s v="Wripple"/>
        <s v="XLA"/>
        <s v="Your Part-Time Controller"/>
        <s v="Yuva Bioscience"/>
        <s v="Zinnia"/>
        <s v="Zocdoc"/>
        <s v="Zylo Therapeutics"/>
        <s v="capSpire"/>
        <s v="commonsku"/>
        <s v="covR"/>
        <s v="engage fi"/>
        <s v="gNext Labs"/>
        <s v="goHappy"/>
        <s v="i2O Therapeutics"/>
        <s v="imagine.io"/>
        <s v="mPath Health"/>
        <s v="nCino"/>
        <s v="siffron"/>
        <m/>
      </sharedItems>
    </cacheField>
    <cacheField name="ShadowHornet Capital Advisors | Southeast LMM PE Firm Portfolio Holdings" numFmtId="0">
      <sharedItems containsBlank="1">
        <s v="Vertical"/>
        <s v="Industrials"/>
        <s v="Information Technology"/>
        <s v="Other / Mixed"/>
        <s v="Financials"/>
        <s v="Real Estate"/>
        <s v="Healthcare"/>
        <s v="Consumer Discretionary"/>
        <s v="Materials"/>
        <s v="Communications"/>
        <s v="Consumer Staples"/>
        <s v="Energy"/>
        <s v="Utilities"/>
        <e v="#N/A"/>
        <s v="Information"/>
        <m/>
      </sharedItems>
    </cacheField>
    <cacheField name=" 2" numFmtId="0">
      <sharedItems containsBlank="1">
        <s v="Actual Sector_Cluster"/>
        <s v="Manufacturing &amp; Processing"/>
        <s v="Risk Management"/>
        <s v="Other / Mixed"/>
        <s v="Home Services / Construction / Industrial Services"/>
        <s v="Financial Services - Asset Finance"/>
        <s v="Real Estate Services"/>
        <s v="Clinical Research &amp; Services"/>
        <s v="Biotechnology &amp; Pharmaceuticals"/>
        <s v="Financial Technology &amp; Investment Services"/>
        <s v="Education &amp; Training"/>
        <s v="Software &amp; SaaS"/>
        <s v="IT Services &amp; Consulting"/>
        <s v="Agriculture Technology"/>
        <s v="Education Technology"/>
        <s v="Artificial Intelligence &amp; Machine Learning"/>
        <s v="Media &amp; Entertainment Technology"/>
        <s v="Medical Devices &amp; Technology"/>
        <s v="Venture Capital &amp; Private Equity"/>
        <s v="Security &amp; Cybersecurity"/>
        <e v="#N/A"/>
        <s v="Aerospace and Defense"/>
        <s v="Environmental &amp; Sustainability"/>
        <s v="Food &amp; Beverage Manufacturing"/>
        <s v="Property Management &amp; Services"/>
        <s v="Hospitality &amp; Resorts"/>
        <s v="Transportation &amp; Logistics"/>
        <s v="Consumer Products"/>
        <s v="Healthcare Technology &amp; Analytics"/>
        <s v="Automotive Services"/>
        <s v="Human Resources Technology"/>
        <s v="Cloud &amp; Infrastructure"/>
        <s v="Engineering &amp; Construction Services"/>
        <s v="Business Services"/>
        <s v="Media &amp; Entertainment"/>
        <s v="Restaurants &amp; Food Services"/>
        <s v="Construction Technology"/>
        <s v="Maritime &amp; Marine Services"/>
        <s v="Retail &amp; E-commerce"/>
        <s v="Marketing &amp; Advertising"/>
        <s v="Chemicals &amp; Petrochemicals"/>
        <s v="Nuclear &amp; Alternative Energy"/>
        <s v="Healthcare Services"/>
        <s v="Hardware &amp; Equipment"/>
        <s v="Banking &amp; Financial Institutions"/>
        <s v="Legal Technology"/>
        <s v="Building Materials &amp; Construction"/>
        <s v="Renewable Energy"/>
        <s v="Real Estate Technology"/>
        <s v="Industrial Equipment &amp; Services"/>
        <s v="Communications Technology"/>
        <s v="Energy Management &amp; Trading"/>
        <s v="Insurance &amp; InsurTech"/>
        <s v="Travel &amp; Hospitality Services"/>
        <s v="Automotive &amp; Transportation Equipment"/>
        <s v="Advanced Materials"/>
        <s v="Water &amp; Wastewater Services"/>
        <s v="Gaming &amp; Entertainment"/>
        <s v="Packaging &amp; Paper Products"/>
        <s v="Automotive Technology"/>
        <s v="Manufacturing Technology"/>
        <s v="Mining &amp; Extraction Technology"/>
        <m/>
      </sharedItems>
    </cacheField>
    <cacheField name=" 3" numFmtId="0">
      <sharedItems containsBlank="1">
        <s v="AI Predicted Sector_Cluster"/>
        <s v="Aerospace and Defense"/>
        <s v="Risk Management"/>
        <s v="Other / Mixed"/>
        <s v="Home Services / Construction / Industrial Services"/>
        <s v="Financial Services - Asset Finance"/>
        <s v="Tech / Software / AI"/>
        <s v="Financial Services / Capital"/>
        <s v="Healthcare / Life Sciences"/>
        <s v="Logistics / Transport"/>
        <s v="Industrial / Manufacturing"/>
        <s v="Hospitality / Restaurants / Foodservice"/>
        <s v="FinTech (Agentic Finance)"/>
        <s v="Publishing"/>
        <s v="Real Estate Software"/>
        <s v="Distribution / Supply Chain"/>
        <m/>
      </sharedItems>
    </cacheField>
    <cacheField name=" 4" numFmtId="0">
      <sharedItems containsBlank="1">
        <s v="Predicted_Performance_Bucket"/>
        <s v="Mixed / Depends on Execution"/>
        <s v="Likely Outperforming"/>
        <s v="Likely Struggling / At Risk"/>
        <s v="High-Risk / Capital Dependent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H3" firstHeaderRow="0" firstDataRow="0" firstDataCol="1"/>
  <pivotFields>
    <pivotField name="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t="default"/>
      </items>
    </pivotField>
    <pivotField name="ShadowHornet Capital Advisors | Southeast LMM PE Firm Portfolio Holding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 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 3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 4" axis="axisCol" compact="0" outline="0" multipleItemSelectionAllowed="1" showAll="0" sortType="ascending">
      <items>
        <item x="5"/>
        <item x="4"/>
        <item x="2"/>
        <item x="3"/>
        <item x="1"/>
        <item x="0"/>
        <item t="default"/>
      </items>
    </pivotField>
  </pivotFields>
  <colFields>
    <field x="4"/>
  </colFields>
  <dataFields>
    <dataField name="COUNTA of  " fld="0" subtotal="count" baseField="0"/>
  </dataFields>
</pivotTableDefinition>
</file>

<file path=xl/tables/table1.xml><?xml version="1.0" encoding="utf-8"?>
<table xmlns="http://schemas.openxmlformats.org/spreadsheetml/2006/main" ref="A1:C9" displayName="Table_1" name="Table_1" id="1">
  <tableColumns count="3">
    <tableColumn name="Category (Revised)" id="1"/>
    <tableColumn name="Share of Companies" id="2"/>
    <tableColumn name="Notes on Interpretation" id="3"/>
  </tableColumns>
  <tableStyleInfo name="Summary Statistic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4crisk.ai/" TargetMode="External"/><Relationship Id="rId2" Type="http://schemas.openxmlformats.org/officeDocument/2006/relationships/hyperlink" Target="http://ambient.ai" TargetMode="External"/><Relationship Id="rId3" Type="http://schemas.openxmlformats.org/officeDocument/2006/relationships/hyperlink" Target="http://canela.tv" TargetMode="External"/><Relationship Id="rId4" Type="http://schemas.openxmlformats.org/officeDocument/2006/relationships/hyperlink" Target="http://nav.it" TargetMode="External"/><Relationship Id="rId5" Type="http://schemas.openxmlformats.org/officeDocument/2006/relationships/hyperlink" Target="http://skillsmaker.ai" TargetMode="External"/><Relationship Id="rId6" Type="http://schemas.openxmlformats.org/officeDocument/2006/relationships/hyperlink" Target="http://imagine.io" TargetMode="External"/><Relationship Id="rId7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://ambient.ai" TargetMode="External"/><Relationship Id="rId2" Type="http://schemas.openxmlformats.org/officeDocument/2006/relationships/hyperlink" Target="http://canela.tv" TargetMode="External"/><Relationship Id="rId3" Type="http://schemas.openxmlformats.org/officeDocument/2006/relationships/hyperlink" Target="http://nav.it" TargetMode="External"/><Relationship Id="rId4" Type="http://schemas.openxmlformats.org/officeDocument/2006/relationships/hyperlink" Target="http://skillsmaker.ai" TargetMode="External"/><Relationship Id="rId5" Type="http://schemas.openxmlformats.org/officeDocument/2006/relationships/hyperlink" Target="http://imagine.io" TargetMode="External"/><Relationship Id="rId6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csimarket.com/screening/index.php?s=ree&amp;utm_source=chatgpt.com" TargetMode="External"/><Relationship Id="rId2" Type="http://schemas.openxmlformats.org/officeDocument/2006/relationships/hyperlink" Target="https://csimarket.com/screening/index.php?s=ree&amp;utm_source=chatgpt.com" TargetMode="External"/><Relationship Id="rId3" Type="http://schemas.openxmlformats.org/officeDocument/2006/relationships/hyperlink" Target="https://csimarket.com/screening/index.php?s=ree&amp;utm_source=chatgpt.com" TargetMode="External"/><Relationship Id="rId4" Type="http://schemas.openxmlformats.org/officeDocument/2006/relationships/hyperlink" Target="https://csimarket.com/screening/index.php?s=ree&amp;utm_source=chatgpt.com" TargetMode="External"/><Relationship Id="rId10" Type="http://schemas.openxmlformats.org/officeDocument/2006/relationships/drawing" Target="../drawings/drawing5.xml"/><Relationship Id="rId9" Type="http://schemas.openxmlformats.org/officeDocument/2006/relationships/hyperlink" Target="https://csimarket.com/screening/index.php?s=ree&amp;utm_source=chatgpt.com" TargetMode="External"/><Relationship Id="rId5" Type="http://schemas.openxmlformats.org/officeDocument/2006/relationships/hyperlink" Target="https://csimarket.com/screening/index.php?s=ree&amp;utm_source=chatgpt.com" TargetMode="External"/><Relationship Id="rId6" Type="http://schemas.openxmlformats.org/officeDocument/2006/relationships/hyperlink" Target="https://csimarket.com/screening/index.php?s=ree&amp;utm_source=chatgpt.com" TargetMode="External"/><Relationship Id="rId7" Type="http://schemas.openxmlformats.org/officeDocument/2006/relationships/hyperlink" Target="https://csimarket.com/screening/index.php?s=ree&amp;utm_source=chatgpt.com" TargetMode="External"/><Relationship Id="rId8" Type="http://schemas.openxmlformats.org/officeDocument/2006/relationships/hyperlink" Target="https://csimarket.com/screening/index.php?s=ree&amp;utm_source=chatgpt.com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ambient.ai" TargetMode="External"/><Relationship Id="rId2" Type="http://schemas.openxmlformats.org/officeDocument/2006/relationships/hyperlink" Target="http://canela.tv" TargetMode="External"/><Relationship Id="rId3" Type="http://schemas.openxmlformats.org/officeDocument/2006/relationships/hyperlink" Target="http://nav.it" TargetMode="External"/><Relationship Id="rId4" Type="http://schemas.openxmlformats.org/officeDocument/2006/relationships/hyperlink" Target="http://skillsmaker.ai" TargetMode="External"/><Relationship Id="rId5" Type="http://schemas.openxmlformats.org/officeDocument/2006/relationships/hyperlink" Target="http://imagine.io" TargetMode="External"/><Relationship Id="rId6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1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9.38"/>
    <col customWidth="1" min="2" max="2" width="15.63"/>
    <col customWidth="1" min="3" max="5" width="20.88"/>
    <col customWidth="1" min="6" max="6" width="22.38"/>
    <col customWidth="1" min="7" max="7" width="17.63"/>
    <col customWidth="1" min="8" max="8" width="16.13"/>
    <col customWidth="1" min="13" max="13" width="20.38"/>
  </cols>
  <sheetData>
    <row r="1" ht="77.25" customHeight="1">
      <c r="A1" s="1"/>
      <c r="B1" s="2" t="s">
        <v>0</v>
      </c>
      <c r="C1" s="3" t="s">
        <v>1</v>
      </c>
      <c r="D1" s="1" t="s">
        <v>0</v>
      </c>
      <c r="E1" s="1" t="s">
        <v>0</v>
      </c>
      <c r="F1" s="1" t="s">
        <v>0</v>
      </c>
      <c r="G1" s="1"/>
      <c r="H1" s="1"/>
      <c r="I1" s="4"/>
      <c r="J1" s="5"/>
      <c r="K1" s="4"/>
      <c r="L1" s="4"/>
      <c r="M1" s="1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10" t="s">
        <v>10</v>
      </c>
      <c r="J2" s="11" t="s">
        <v>11</v>
      </c>
      <c r="K2" s="10" t="s">
        <v>12</v>
      </c>
      <c r="L2" s="10" t="s">
        <v>13</v>
      </c>
      <c r="M2" s="9" t="s">
        <v>14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>
      <c r="A3" s="13" t="b">
        <v>0</v>
      </c>
      <c r="B3" s="14" t="s">
        <v>15</v>
      </c>
      <c r="C3" s="15" t="s">
        <v>16</v>
      </c>
      <c r="D3" s="13" t="str">
        <f>vlookup(B3,Vert_Mapper!$A$2:$C$567,3,0)</f>
        <v>Manufacturing &amp; Processing</v>
      </c>
      <c r="E3" s="13" t="s">
        <v>17</v>
      </c>
      <c r="F3" s="13" t="s">
        <v>18</v>
      </c>
      <c r="G3" s="13" t="str">
        <f t="shared" ref="G3:G609" si="1">IF(L3 &lt; -0.2, "SEVERELY NEGATIVE",
IF(L3 &lt; 0, "DECLINING",
IF(L3 &lt;= 0.03, "FLAT TO NEUTRAL",
IF(L3 &lt;= 0.2, "GROWTH PHASE",
IF(L3 &lt;= 1, "ACCELERATED GROWTH",
"HYPERGROWTH")))))</f>
        <v>GROWTH PHASE</v>
      </c>
      <c r="H3" s="13" t="s">
        <v>19</v>
      </c>
      <c r="I3" s="16">
        <f>IFERROR(__xludf.DUMMYFUNCTION("ROUND(
  MAX(
    MIN(
      (
        (VALUE(INDEX(SPLIT(K3,""-""),1)) + VALUE(INDEX(SPLIT(K3,""-""),2))) / 2
      ) *
      IFS(
        L3&gt;0.4, 1.6,
        L3&gt;0.1, 1.3,
        L3&gt;=-0.05, 1,
        L3&gt;=-0.2, 0.85,
        TRUE, 0.7
      ),
      VA"&amp;"LUE(INDEX(SPLIT(K3,""-""),2))
    ),
    VALUE(INDEX(SPLIT(K3,""-""),1))
  )
)"),351.0)</f>
        <v>351</v>
      </c>
      <c r="J3" s="17">
        <f>I3*(VLOOKUP(C3,'Rev_Mapping Table'!$A$1:$C$12,3,0))</f>
        <v>173043000</v>
      </c>
      <c r="K3" s="16" t="s">
        <v>20</v>
      </c>
      <c r="L3" s="18">
        <v>0.08</v>
      </c>
      <c r="M3" s="19" t="str">
        <f>VLOOKUP(B3,Master_Mapper!$A$2:$C$628,3,0)</f>
        <v>Route 2 Capital Partners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>
      <c r="A4" s="21" t="b">
        <v>0</v>
      </c>
      <c r="B4" s="22" t="s">
        <v>21</v>
      </c>
      <c r="C4" s="23" t="s">
        <v>22</v>
      </c>
      <c r="D4" s="21" t="str">
        <f>vlookup(B4,Vert_Mapper!$A$2:$C$567,3,0)</f>
        <v>Risk Management</v>
      </c>
      <c r="E4" s="21" t="s">
        <v>23</v>
      </c>
      <c r="F4" s="21" t="s">
        <v>18</v>
      </c>
      <c r="G4" s="21" t="str">
        <f t="shared" si="1"/>
        <v>GROWTH PHASE</v>
      </c>
      <c r="H4" s="21" t="s">
        <v>24</v>
      </c>
      <c r="I4" s="24">
        <f>IFERROR(__xludf.DUMMYFUNCTION("ROUND(
  MAX(
    MIN(
      (
        (VALUE(INDEX(SPLIT(K4,""-""),1)) + VALUE(INDEX(SPLIT(K4,""-""),2))) / 2
      ) *
      IFS(
        L4&gt;0.4, 1.6,
        L4&gt;0.1, 1.3,
        L4&gt;=-0.05, 1,
        L4&gt;=-0.2, 0.85,
        TRUE, 0.7
      ),
      VA"&amp;"LUE(INDEX(SPLIT(K4,""-""),2))
    ),
    VALUE(INDEX(SPLIT(K4,""-""),1))
  )
)"),31.0)</f>
        <v>31</v>
      </c>
      <c r="J4" s="25">
        <f>I4*(VLOOKUP(C4,'Rev_Mapping Table'!$A$1:$C$12,3,0))</f>
        <v>17484000</v>
      </c>
      <c r="K4" s="24" t="s">
        <v>25</v>
      </c>
      <c r="L4" s="26">
        <v>0.09</v>
      </c>
      <c r="M4" s="27" t="str">
        <f>VLOOKUP(B4,Master_Mapper!$A$2:$C$628,3,0)</f>
        <v>Cerity Partners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>
      <c r="A5" s="13" t="b">
        <v>0</v>
      </c>
      <c r="B5" s="29">
        <v>0.25</v>
      </c>
      <c r="C5" s="15" t="s">
        <v>26</v>
      </c>
      <c r="D5" s="13" t="str">
        <f>vlookup(B5,Vert_Mapper!$A$2:$C$567,3,0)</f>
        <v>Other / Mixed</v>
      </c>
      <c r="E5" s="13" t="s">
        <v>26</v>
      </c>
      <c r="F5" s="13" t="s">
        <v>18</v>
      </c>
      <c r="G5" s="13" t="str">
        <f t="shared" si="1"/>
        <v>DECLINING</v>
      </c>
      <c r="H5" s="13" t="s">
        <v>27</v>
      </c>
      <c r="I5" s="16">
        <f>IFERROR(__xludf.DUMMYFUNCTION("ROUND(
  MAX(
    MIN(
      (
        (VALUE(INDEX(SPLIT(K5,""-""),1)) + VALUE(INDEX(SPLIT(K5,""-""),2))) / 2
      ) *
      IFS(
        L5&gt;0.4, 1.6,
        L5&gt;0.1, 1.3,
        L5&gt;=-0.05, 1,
        L5&gt;=-0.2, 0.85,
        TRUE, 0.7
      ),
      VA"&amp;"LUE(INDEX(SPLIT(K5,""-""),2))
    ),
    VALUE(INDEX(SPLIT(K5,""-""),1))
  )
)"),5.0)</f>
        <v>5</v>
      </c>
      <c r="J5" s="17" t="str">
        <f>I5*(VLOOKUP(C5,'Rev_Mapping Table'!$A$1:$C$12,3,0))</f>
        <v>#N/A</v>
      </c>
      <c r="K5" s="30">
        <v>45698.0</v>
      </c>
      <c r="L5" s="18">
        <v>-0.09</v>
      </c>
      <c r="M5" s="19" t="str">
        <f>VLOOKUP(B5,Master_Mapper!$A$2:$C$628,3,0)</f>
        <v/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>
      <c r="A6" s="21" t="b">
        <v>0</v>
      </c>
      <c r="B6" s="31" t="s">
        <v>28</v>
      </c>
      <c r="C6" s="23" t="s">
        <v>16</v>
      </c>
      <c r="D6" s="21" t="str">
        <f>vlookup(B6,Vert_Mapper!$A$2:$C$567,3,0)</f>
        <v>Home Services / Construction / Industrial Services</v>
      </c>
      <c r="E6" s="21" t="s">
        <v>29</v>
      </c>
      <c r="F6" s="21" t="s">
        <v>30</v>
      </c>
      <c r="G6" s="21" t="str">
        <f t="shared" si="1"/>
        <v>DECLINING</v>
      </c>
      <c r="H6" s="21" t="s">
        <v>31</v>
      </c>
      <c r="I6" s="24">
        <f>IFERROR(__xludf.DUMMYFUNCTION("ROUND(
  MAX(
    MIN(
      (
        (VALUE(INDEX(SPLIT(K6,""-""),1)) + VALUE(INDEX(SPLIT(K6,""-""),2))) / 2
      ) *
      IFS(
        L6&gt;0.4, 1.6,
        L6&gt;0.1, 1.3,
        L6&gt;=-0.05, 1,
        L6&gt;=-0.2, 0.85,
        TRUE, 0.7
      ),
      VA"&amp;"LUE(INDEX(SPLIT(K6,""-""),2))
    ),
    VALUE(INDEX(SPLIT(K6,""-""),1))
  )
)"),126.0)</f>
        <v>126</v>
      </c>
      <c r="J6" s="25">
        <f>I6*(VLOOKUP(C6,'Rev_Mapping Table'!$A$1:$C$12,3,0))</f>
        <v>62118000</v>
      </c>
      <c r="K6" s="24" t="s">
        <v>32</v>
      </c>
      <c r="L6" s="26">
        <v>-0.05</v>
      </c>
      <c r="M6" s="27" t="str">
        <f>VLOOKUP(B6,Master_Mapper!$A$2:$C$628,3,0)</f>
        <v>Succession Capital Partners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>
      <c r="A7" s="13" t="b">
        <v>0</v>
      </c>
      <c r="B7" s="14" t="s">
        <v>33</v>
      </c>
      <c r="C7" s="15" t="s">
        <v>16</v>
      </c>
      <c r="D7" s="13" t="str">
        <f>vlookup(B7,Vert_Mapper!$A$2:$C$567,3,0)</f>
        <v>Home Services / Construction / Industrial Services</v>
      </c>
      <c r="E7" s="13" t="s">
        <v>29</v>
      </c>
      <c r="F7" s="13" t="s">
        <v>34</v>
      </c>
      <c r="G7" s="13" t="str">
        <f t="shared" si="1"/>
        <v>GROWTH PHASE</v>
      </c>
      <c r="H7" s="13" t="s">
        <v>35</v>
      </c>
      <c r="I7" s="16">
        <f>IFERROR(__xludf.DUMMYFUNCTION("ROUND(
  MAX(
    MIN(
      (
        (VALUE(INDEX(SPLIT(K7,""-""),1)) + VALUE(INDEX(SPLIT(K7,""-""),2))) / 2
      ) *
      IFS(
        L7&gt;0.4, 1.6,
        L7&gt;0.1, 1.3,
        L7&gt;=-0.05, 1,
        L7&gt;=-0.2, 0.85,
        TRUE, 0.7
      ),
      VA"&amp;"LUE(INDEX(SPLIT(K7,""-""),2))
    ),
    VALUE(INDEX(SPLIT(K7,""-""),1))
  )
)"),7501.0)</f>
        <v>7501</v>
      </c>
      <c r="J7" s="17">
        <f>I7*(VLOOKUP(C7,'Rev_Mapping Table'!$A$1:$C$12,3,0))</f>
        <v>3697993000</v>
      </c>
      <c r="K7" s="16" t="s">
        <v>36</v>
      </c>
      <c r="L7" s="18">
        <v>0.06</v>
      </c>
      <c r="M7" s="19" t="str">
        <f>VLOOKUP(B7,Master_Mapper!$A$2:$C$628,3,0)</f>
        <v>Succession Capital Partners</v>
      </c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>
      <c r="A8" s="21" t="b">
        <v>0</v>
      </c>
      <c r="B8" s="31" t="s">
        <v>37</v>
      </c>
      <c r="C8" s="23" t="s">
        <v>38</v>
      </c>
      <c r="D8" s="21" t="str">
        <f>vlookup(B8,Vert_Mapper!$A$2:$C$567,3,0)</f>
        <v>Financial Services - Asset Finance</v>
      </c>
      <c r="E8" s="21" t="s">
        <v>39</v>
      </c>
      <c r="F8" s="21" t="s">
        <v>18</v>
      </c>
      <c r="G8" s="21" t="str">
        <f t="shared" si="1"/>
        <v>DECLINING</v>
      </c>
      <c r="H8" s="21" t="s">
        <v>40</v>
      </c>
      <c r="I8" s="24">
        <f>IFERROR(__xludf.DUMMYFUNCTION("ROUND(
  MAX(
    MIN(
      (
        (VALUE(INDEX(SPLIT(K8,""-""),1)) + VALUE(INDEX(SPLIT(K8,""-""),2))) / 2
      ) *
      IFS(
        L8&gt;0.4, 1.6,
        L8&gt;0.1, 1.3,
        L8&gt;=-0.05, 1,
        L8&gt;=-0.2, 0.85,
        TRUE, 0.7
      ),
      VA"&amp;"LUE(INDEX(SPLIT(K8,""-""),2))
    ),
    VALUE(INDEX(SPLIT(K8,""-""),1))
  )
)"),26.0)</f>
        <v>26</v>
      </c>
      <c r="J8" s="25">
        <f>I8*(VLOOKUP(C8,'Rev_Mapping Table'!$A$1:$C$12,3,0))</f>
        <v>23530000</v>
      </c>
      <c r="K8" s="24" t="s">
        <v>25</v>
      </c>
      <c r="L8" s="26">
        <v>-0.12</v>
      </c>
      <c r="M8" s="27" t="str">
        <f>VLOOKUP(B8,Master_Mapper!$A$2:$C$628,3,0)</f>
        <v>VentureSouth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>
      <c r="A9" s="13" t="b">
        <v>0</v>
      </c>
      <c r="B9" s="14" t="s">
        <v>41</v>
      </c>
      <c r="C9" s="15" t="s">
        <v>42</v>
      </c>
      <c r="D9" s="13" t="str">
        <f>vlookup(B9,Vert_Mapper!$A$2:$C$567,3,0)</f>
        <v>Real Estate Services</v>
      </c>
      <c r="E9" s="13" t="s">
        <v>26</v>
      </c>
      <c r="F9" s="13" t="s">
        <v>18</v>
      </c>
      <c r="G9" s="13" t="str">
        <f t="shared" si="1"/>
        <v>GROWTH PHASE</v>
      </c>
      <c r="H9" s="13" t="s">
        <v>43</v>
      </c>
      <c r="I9" s="16">
        <f>IFERROR(__xludf.DUMMYFUNCTION("ROUND(
  MAX(
    MIN(
      (
        (VALUE(INDEX(SPLIT(K9,""-""),1)) + VALUE(INDEX(SPLIT(K9,""-""),2))) / 2
      ) *
      IFS(
        L9&gt;0.4, 1.6,
        L9&gt;0.1, 1.3,
        L9&gt;=-0.05, 1,
        L9&gt;=-0.2, 0.85,
        TRUE, 0.7
      ),
      VA"&amp;"LUE(INDEX(SPLIT(K9,""-""),2))
    ),
    VALUE(INDEX(SPLIT(K9,""-""),1))
  )
)"),3000.0)</f>
        <v>3000</v>
      </c>
      <c r="J9" s="17">
        <f>I9*(VLOOKUP(C9,'Rev_Mapping Table'!$A$1:$C$12,3,0))</f>
        <v>1380000000</v>
      </c>
      <c r="K9" s="16" t="s">
        <v>44</v>
      </c>
      <c r="L9" s="18">
        <v>0.09</v>
      </c>
      <c r="M9" s="19" t="str">
        <f>VLOOKUP(B9,Master_Mapper!$A$2:$C$628,3,0)</f>
        <v>Cerity Partners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>
      <c r="A10" s="21" t="b">
        <v>0</v>
      </c>
      <c r="B10" s="31" t="s">
        <v>45</v>
      </c>
      <c r="C10" s="23" t="s">
        <v>46</v>
      </c>
      <c r="D10" s="21" t="str">
        <f>vlookup(B10,Vert_Mapper!$A$2:$C$567,3,0)</f>
        <v>Clinical Research &amp; Services</v>
      </c>
      <c r="E10" s="21" t="s">
        <v>26</v>
      </c>
      <c r="F10" s="21" t="s">
        <v>18</v>
      </c>
      <c r="G10" s="21" t="str">
        <f t="shared" si="1"/>
        <v>DECLINING</v>
      </c>
      <c r="H10" s="21" t="s">
        <v>47</v>
      </c>
      <c r="I10" s="24">
        <f>IFERROR(__xludf.DUMMYFUNCTION("ROUND(
  MAX(
    MIN(
      (
        (VALUE(INDEX(SPLIT(K10,""-""),1)) + VALUE(INDEX(SPLIT(K10,""-""),2))) / 2
      ) *
      IFS(
        L10&gt;0.4, 1.6,
        L10&gt;0.1, 1.3,
        L10&gt;=-0.05, 1,
        L10&gt;=-0.2, 0.85,
        TRUE, 0.7
      ),
  "&amp;"    VALUE(INDEX(SPLIT(K10,""-""),2))
    ),
    VALUE(INDEX(SPLIT(K10,""-""),1))
  )
)"),107.0)</f>
        <v>107</v>
      </c>
      <c r="J10" s="25">
        <f>I10*(VLOOKUP(C10,'Rev_Mapping Table'!$A$1:$C$12,3,0))</f>
        <v>59492000</v>
      </c>
      <c r="K10" s="24" t="s">
        <v>32</v>
      </c>
      <c r="L10" s="26">
        <v>-0.13</v>
      </c>
      <c r="M10" s="27" t="str">
        <f>VLOOKUP(B10,Master_Mapper!$A$2:$C$628,3,0)</f>
        <v>Cerity Partners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>
      <c r="A11" s="13" t="b">
        <v>0</v>
      </c>
      <c r="B11" s="14" t="s">
        <v>48</v>
      </c>
      <c r="C11" s="15" t="s">
        <v>46</v>
      </c>
      <c r="D11" s="13" t="str">
        <f>vlookup(B11,Vert_Mapper!$A$2:$C$567,3,0)</f>
        <v>Biotechnology &amp; Pharmaceuticals</v>
      </c>
      <c r="E11" s="13" t="s">
        <v>26</v>
      </c>
      <c r="F11" s="13" t="s">
        <v>18</v>
      </c>
      <c r="G11" s="13" t="str">
        <f t="shared" si="1"/>
        <v>HYPERGROWTH</v>
      </c>
      <c r="H11" s="13" t="s">
        <v>49</v>
      </c>
      <c r="I11" s="16" t="str">
        <f>IFERROR(__xludf.DUMMYFUNCTION("ROUND(
  MAX(
    MIN(
      (
        (VALUE(INDEX(SPLIT(K11,""-""),1)) + VALUE(INDEX(SPLIT(K11,""-""),2))) / 2
      ) *
      IFS(
        L11&gt;0.4, 1.6,
        L11&gt;0.1, 1.3,
        L11&gt;=-0.05, 1,
        L11&gt;=-0.2, 0.85,
        TRUE, 0.7
      ),
  "&amp;"    VALUE(INDEX(SPLIT(K11,""-""),2))
    ),
    VALUE(INDEX(SPLIT(K11,""-""),1))
  )
)"),"#VALUE!")</f>
        <v>#VALUE!</v>
      </c>
      <c r="J11" s="17" t="str">
        <f>I11*(VLOOKUP(C11,'Rev_Mapping Table'!$A$1:$C$12,3,0))</f>
        <v>#VALUE!</v>
      </c>
      <c r="K11" s="16" t="s">
        <v>49</v>
      </c>
      <c r="L11" s="16" t="s">
        <v>49</v>
      </c>
      <c r="M11" s="19" t="str">
        <f>VLOOKUP(B11,Master_Mapper!$A$2:$C$628,3,0)</f>
        <v>NovaQuest Capital Mgmt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>
      <c r="A12" s="21" t="b">
        <v>0</v>
      </c>
      <c r="B12" s="31" t="s">
        <v>50</v>
      </c>
      <c r="C12" s="23" t="s">
        <v>46</v>
      </c>
      <c r="D12" s="21" t="str">
        <f>vlookup(B12,Vert_Mapper!$A$2:$C$567,3,0)</f>
        <v>Clinical Research &amp; Services</v>
      </c>
      <c r="E12" s="21" t="s">
        <v>26</v>
      </c>
      <c r="F12" s="21" t="s">
        <v>18</v>
      </c>
      <c r="G12" s="21" t="str">
        <f t="shared" si="1"/>
        <v>FLAT TO NEUTRAL</v>
      </c>
      <c r="H12" s="21" t="s">
        <v>51</v>
      </c>
      <c r="I12" s="24">
        <f>IFERROR(__xludf.DUMMYFUNCTION("ROUND(
  MAX(
    MIN(
      (
        (VALUE(INDEX(SPLIT(K12,""-""),1)) + VALUE(INDEX(SPLIT(K12,""-""),2))) / 2
      ) *
      IFS(
        L12&gt;0.4, 1.6,
        L12&gt;0.1, 1.3,
        L12&gt;=-0.05, 1,
        L12&gt;=-0.2, 0.85,
        TRUE, 0.7
      ),
  "&amp;"    VALUE(INDEX(SPLIT(K12,""-""),2))
    ),
    VALUE(INDEX(SPLIT(K12,""-""),1))
  )
)"),6.0)</f>
        <v>6</v>
      </c>
      <c r="J12" s="25">
        <f>I12*(VLOOKUP(C12,'Rev_Mapping Table'!$A$1:$C$12,3,0))</f>
        <v>3336000</v>
      </c>
      <c r="K12" s="32">
        <v>45698.0</v>
      </c>
      <c r="L12" s="26">
        <v>0.0</v>
      </c>
      <c r="M12" s="27" t="str">
        <f>VLOOKUP(B12,Master_Mapper!$A$2:$C$628,3,0)</f>
        <v>Bloomfield Partners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>
      <c r="A13" s="13" t="b">
        <v>0</v>
      </c>
      <c r="B13" s="14" t="s">
        <v>52</v>
      </c>
      <c r="C13" s="15" t="s">
        <v>38</v>
      </c>
      <c r="D13" s="13" t="str">
        <f>vlookup(B13,Vert_Mapper!$A$2:$C$567,3,0)</f>
        <v>Financial Technology &amp; Investment Services</v>
      </c>
      <c r="E13" s="13" t="s">
        <v>26</v>
      </c>
      <c r="F13" s="13" t="s">
        <v>18</v>
      </c>
      <c r="G13" s="13" t="str">
        <f t="shared" si="1"/>
        <v>GROWTH PHASE</v>
      </c>
      <c r="H13" s="13" t="s">
        <v>53</v>
      </c>
      <c r="I13" s="16">
        <f>IFERROR(__xludf.DUMMYFUNCTION("ROUND(
  MAX(
    MIN(
      (
        (VALUE(INDEX(SPLIT(K13,""-""),1)) + VALUE(INDEX(SPLIT(K13,""-""),2))) / 2
      ) *
      IFS(
        L13&gt;0.4, 1.6,
        L13&gt;0.1, 1.3,
        L13&gt;=-0.05, 1,
        L13&gt;=-0.2, 0.85,
        TRUE, 0.7
      ),
  "&amp;"    VALUE(INDEX(SPLIT(K13,""-""),2))
    ),
    VALUE(INDEX(SPLIT(K13,""-""),1))
  )
)"),976.0)</f>
        <v>976</v>
      </c>
      <c r="J13" s="17">
        <f>I13*(VLOOKUP(C13,'Rev_Mapping Table'!$A$1:$C$12,3,0))</f>
        <v>883280000</v>
      </c>
      <c r="K13" s="16" t="s">
        <v>54</v>
      </c>
      <c r="L13" s="18">
        <v>0.17</v>
      </c>
      <c r="M13" s="19" t="str">
        <f>VLOOKUP(B13,Master_Mapper!$A$2:$C$628,3,0)</f>
        <v>Vibora Capital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>
      <c r="A14" s="21" t="b">
        <v>0</v>
      </c>
      <c r="B14" s="31" t="s">
        <v>55</v>
      </c>
      <c r="C14" s="23" t="s">
        <v>56</v>
      </c>
      <c r="D14" s="21" t="str">
        <f>vlookup(B14,Vert_Mapper!$A$2:$C$567,3,0)</f>
        <v>Education &amp; Training</v>
      </c>
      <c r="E14" s="21" t="s">
        <v>26</v>
      </c>
      <c r="F14" s="21" t="s">
        <v>18</v>
      </c>
      <c r="G14" s="21" t="str">
        <f t="shared" si="1"/>
        <v>FLAT TO NEUTRAL</v>
      </c>
      <c r="H14" s="21" t="s">
        <v>57</v>
      </c>
      <c r="I14" s="24">
        <f>IFERROR(__xludf.DUMMYFUNCTION("ROUND(
  MAX(
    MIN(
      (
        (VALUE(INDEX(SPLIT(K14,""-""),1)) + VALUE(INDEX(SPLIT(K14,""-""),2))) / 2
      ) *
      IFS(
        L14&gt;0.4, 1.6,
        L14&gt;0.1, 1.3,
        L14&gt;=-0.05, 1,
        L14&gt;=-0.2, 0.85,
        TRUE, 0.7
      ),
  "&amp;"    VALUE(INDEX(SPLIT(K14,""-""),2))
    ),
    VALUE(INDEX(SPLIT(K14,""-""),1))
  )
)"),6.0)</f>
        <v>6</v>
      </c>
      <c r="J14" s="25">
        <f>I14*(VLOOKUP(C14,'Rev_Mapping Table'!$A$1:$C$12,3,0))</f>
        <v>3072000</v>
      </c>
      <c r="K14" s="32">
        <v>45698.0</v>
      </c>
      <c r="L14" s="26">
        <v>0.0</v>
      </c>
      <c r="M14" s="27" t="str">
        <f>VLOOKUP(B14,Master_Mapper!$A$2:$C$628,3,0)</f>
        <v>VentureSouth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>
      <c r="A15" s="13" t="b">
        <v>0</v>
      </c>
      <c r="B15" s="14" t="s">
        <v>58</v>
      </c>
      <c r="C15" s="15" t="s">
        <v>22</v>
      </c>
      <c r="D15" s="13" t="str">
        <f>vlookup(B15,Vert_Mapper!$A$2:$C$567,3,0)</f>
        <v>Software &amp; SaaS</v>
      </c>
      <c r="E15" s="13" t="s">
        <v>26</v>
      </c>
      <c r="F15" s="13" t="s">
        <v>18</v>
      </c>
      <c r="G15" s="13" t="str">
        <f t="shared" si="1"/>
        <v>DECLINING</v>
      </c>
      <c r="H15" s="13" t="s">
        <v>59</v>
      </c>
      <c r="I15" s="16">
        <f>IFERROR(__xludf.DUMMYFUNCTION("ROUND(
  MAX(
    MIN(
      (
        (VALUE(INDEX(SPLIT(K15,""-""),1)) + VALUE(INDEX(SPLIT(K15,""-""),2))) / 2
      ) *
      IFS(
        L15&gt;0.4, 1.6,
        L15&gt;0.1, 1.3,
        L15&gt;=-0.05, 1,
        L15&gt;=-0.2, 0.85,
        TRUE, 0.7
      ),
  "&amp;"    VALUE(INDEX(SPLIT(K15,""-""),2))
    ),
    VALUE(INDEX(SPLIT(K15,""-""),1))
  )
)"),31.0)</f>
        <v>31</v>
      </c>
      <c r="J15" s="17">
        <f>I15*(VLOOKUP(C15,'Rev_Mapping Table'!$A$1:$C$12,3,0))</f>
        <v>17484000</v>
      </c>
      <c r="K15" s="16" t="s">
        <v>25</v>
      </c>
      <c r="L15" s="18">
        <v>-0.05</v>
      </c>
      <c r="M15" s="19" t="str">
        <f>VLOOKUP(B15,Master_Mapper!$A$2:$C$628,3,0)</f>
        <v>VentureSouth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>
      <c r="A16" s="21" t="b">
        <v>0</v>
      </c>
      <c r="B16" s="31" t="s">
        <v>60</v>
      </c>
      <c r="C16" s="23" t="s">
        <v>22</v>
      </c>
      <c r="D16" s="21" t="str">
        <f>vlookup(B16,Vert_Mapper!$A$2:$C$567,3,0)</f>
        <v>IT Services &amp; Consulting</v>
      </c>
      <c r="E16" s="21" t="s">
        <v>26</v>
      </c>
      <c r="F16" s="21" t="s">
        <v>18</v>
      </c>
      <c r="G16" s="21" t="str">
        <f t="shared" si="1"/>
        <v>FLAT TO NEUTRAL</v>
      </c>
      <c r="H16" s="21" t="s">
        <v>61</v>
      </c>
      <c r="I16" s="24">
        <f>IFERROR(__xludf.DUMMYFUNCTION("ROUND(
  MAX(
    MIN(
      (
        (VALUE(INDEX(SPLIT(K16,""-""),1)) + VALUE(INDEX(SPLIT(K16,""-""),2))) / 2
      ) *
      IFS(
        L16&gt;0.4, 1.6,
        L16&gt;0.1, 1.3,
        L16&gt;=-0.05, 1,
        L16&gt;=-0.2, 0.85,
        TRUE, 0.7
      ),
  "&amp;"    VALUE(INDEX(SPLIT(K16,""-""),2))
    ),
    VALUE(INDEX(SPLIT(K16,""-""),1))
  )
)"),3000.0)</f>
        <v>3000</v>
      </c>
      <c r="J16" s="25">
        <f>I16*(VLOOKUP(C16,'Rev_Mapping Table'!$A$1:$C$12,3,0))</f>
        <v>1692000000</v>
      </c>
      <c r="K16" s="24" t="s">
        <v>62</v>
      </c>
      <c r="L16" s="26">
        <v>0.01</v>
      </c>
      <c r="M16" s="27" t="str">
        <f>VLOOKUP(B16,Master_Mapper!$A$2:$C$628,3,0)</f>
        <v/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>
      <c r="A17" s="13" t="b">
        <v>1</v>
      </c>
      <c r="B17" s="14" t="s">
        <v>63</v>
      </c>
      <c r="C17" s="15" t="s">
        <v>64</v>
      </c>
      <c r="D17" s="13" t="str">
        <f>vlookup(B17,Vert_Mapper!$A$2:$C$567,3,0)</f>
        <v>Agriculture Technology</v>
      </c>
      <c r="E17" s="13" t="s">
        <v>65</v>
      </c>
      <c r="F17" s="13" t="s">
        <v>18</v>
      </c>
      <c r="G17" s="13" t="str">
        <f t="shared" si="1"/>
        <v>FLAT TO NEUTRAL</v>
      </c>
      <c r="H17" s="13" t="s">
        <v>66</v>
      </c>
      <c r="I17" s="16">
        <f>IFERROR(__xludf.DUMMYFUNCTION("ROUND(
  MAX(
    MIN(
      (
        (VALUE(INDEX(SPLIT(K17,""-""),1)) + VALUE(INDEX(SPLIT(K17,""-""),2))) / 2
      ) *
      IFS(
        L17&gt;0.4, 1.6,
        L17&gt;0.1, 1.3,
        L17&gt;=-0.05, 1,
        L17&gt;=-0.2, 0.85,
        TRUE, 0.7
      ),
  "&amp;"    VALUE(INDEX(SPLIT(K17,""-""),2))
    ),
    VALUE(INDEX(SPLIT(K17,""-""),1))
  )
)"),6.0)</f>
        <v>6</v>
      </c>
      <c r="J17" s="17">
        <f>I17*(VLOOKUP(C17,'Rev_Mapping Table'!$A$1:$C$12,3,0))</f>
        <v>2958000</v>
      </c>
      <c r="K17" s="30">
        <v>45698.0</v>
      </c>
      <c r="L17" s="18">
        <v>0.0</v>
      </c>
      <c r="M17" s="19" t="str">
        <f>VLOOKUP(B17,Master_Mapper!$A$2:$C$628,3,0)</f>
        <v>VentureSouth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>
      <c r="A18" s="21" t="b">
        <v>0</v>
      </c>
      <c r="B18" s="31" t="s">
        <v>67</v>
      </c>
      <c r="C18" s="23" t="s">
        <v>22</v>
      </c>
      <c r="D18" s="21" t="str">
        <f>vlookup(B18,Vert_Mapper!$A$2:$C$567,3,0)</f>
        <v>Education Technology</v>
      </c>
      <c r="E18" s="21" t="s">
        <v>26</v>
      </c>
      <c r="F18" s="21" t="s">
        <v>18</v>
      </c>
      <c r="G18" s="21" t="str">
        <f t="shared" si="1"/>
        <v>FLAT TO NEUTRAL</v>
      </c>
      <c r="H18" s="21" t="s">
        <v>68</v>
      </c>
      <c r="I18" s="24">
        <f>IFERROR(__xludf.DUMMYFUNCTION("ROUND(
  MAX(
    MIN(
      (
        (VALUE(INDEX(SPLIT(K18,""-""),1)) + VALUE(INDEX(SPLIT(K18,""-""),2))) / 2
      ) *
      IFS(
        L18&gt;0.4, 1.6,
        L18&gt;0.1, 1.3,
        L18&gt;=-0.05, 1,
        L18&gt;=-0.2, 0.85,
        TRUE, 0.7
      ),
  "&amp;"    VALUE(INDEX(SPLIT(K18,""-""),2))
    ),
    VALUE(INDEX(SPLIT(K18,""-""),1))
  )
)"),126.0)</f>
        <v>126</v>
      </c>
      <c r="J18" s="25">
        <f>I18*(VLOOKUP(C18,'Rev_Mapping Table'!$A$1:$C$12,3,0))</f>
        <v>71064000</v>
      </c>
      <c r="K18" s="24" t="s">
        <v>32</v>
      </c>
      <c r="L18" s="26">
        <v>0.02</v>
      </c>
      <c r="M18" s="27" t="str">
        <f>VLOOKUP(B18,Master_Mapper!$A$2:$C$628,3,0)</f>
        <v>Harbright Ventures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>
      <c r="A19" s="13" t="b">
        <v>0</v>
      </c>
      <c r="B19" s="14" t="s">
        <v>69</v>
      </c>
      <c r="C19" s="15" t="s">
        <v>22</v>
      </c>
      <c r="D19" s="13" t="str">
        <f>vlookup(B19,Vert_Mapper!$A$2:$C$567,3,0)</f>
        <v>Artificial Intelligence &amp; Machine Learning</v>
      </c>
      <c r="E19" s="13" t="s">
        <v>26</v>
      </c>
      <c r="F19" s="13" t="s">
        <v>18</v>
      </c>
      <c r="G19" s="13" t="str">
        <f t="shared" si="1"/>
        <v>HYPERGROWTH</v>
      </c>
      <c r="H19" s="13" t="s">
        <v>70</v>
      </c>
      <c r="I19" s="16" t="str">
        <f>IFERROR(__xludf.DUMMYFUNCTION("ROUND(
  MAX(
    MIN(
      (
        (VALUE(INDEX(SPLIT(K19,""-""),1)) + VALUE(INDEX(SPLIT(K19,""-""),2))) / 2
      ) *
      IFS(
        L19&gt;0.4, 1.6,
        L19&gt;0.1, 1.3,
        L19&gt;=-0.05, 1,
        L19&gt;=-0.2, 0.85,
        TRUE, 0.7
      ),
  "&amp;"    VALUE(INDEX(SPLIT(K19,""-""),2))
    ),
    VALUE(INDEX(SPLIT(K19,""-""),1))
  )
)"),"#VALUE!")</f>
        <v>#VALUE!</v>
      </c>
      <c r="J19" s="17" t="str">
        <f>I19*(VLOOKUP(C19,'Rev_Mapping Table'!$A$1:$C$12,3,0))</f>
        <v>#VALUE!</v>
      </c>
      <c r="K19" s="33" t="s">
        <v>70</v>
      </c>
      <c r="L19" s="33" t="s">
        <v>70</v>
      </c>
      <c r="M19" s="19" t="str">
        <f>VLOOKUP(B19,Master_Mapper!$A$2:$C$628,3,0)</f>
        <v>Cerity Partners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>
      <c r="A20" s="21" t="b">
        <v>1</v>
      </c>
      <c r="B20" s="31" t="s">
        <v>71</v>
      </c>
      <c r="C20" s="23" t="s">
        <v>72</v>
      </c>
      <c r="D20" s="21" t="str">
        <f>vlookup(B20,Vert_Mapper!$A$2:$C$567,3,0)</f>
        <v>Media &amp; Entertainment Technology</v>
      </c>
      <c r="E20" s="21" t="s">
        <v>65</v>
      </c>
      <c r="F20" s="21" t="s">
        <v>30</v>
      </c>
      <c r="G20" s="21" t="str">
        <f t="shared" si="1"/>
        <v>FLAT TO NEUTRAL</v>
      </c>
      <c r="H20" s="21" t="s">
        <v>73</v>
      </c>
      <c r="I20" s="24">
        <f>IFERROR(__xludf.DUMMYFUNCTION("ROUND(
  MAX(
    MIN(
      (
        (VALUE(INDEX(SPLIT(K20,""-""),1)) + VALUE(INDEX(SPLIT(K20,""-""),2))) / 2
      ) *
      IFS(
        L20&gt;0.4, 1.6,
        L20&gt;0.1, 1.3,
        L20&gt;=-0.05, 1,
        L20&gt;=-0.2, 0.85,
        TRUE, 0.7
      ),
  "&amp;"    VALUE(INDEX(SPLIT(K20,""-""),2))
    ),
    VALUE(INDEX(SPLIT(K20,""-""),1))
  )
)"),126.0)</f>
        <v>126</v>
      </c>
      <c r="J20" s="25">
        <f>I20*(VLOOKUP(C20,'Rev_Mapping Table'!$A$1:$C$12,3,0))</f>
        <v>71064000</v>
      </c>
      <c r="K20" s="24" t="s">
        <v>32</v>
      </c>
      <c r="L20" s="26">
        <v>0.0</v>
      </c>
      <c r="M20" s="27" t="str">
        <f>VLOOKUP(B20,Master_Mapper!$A$2:$C$628,3,0)</f>
        <v>Pamlico Capital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>
      <c r="A21" s="13" t="b">
        <v>1</v>
      </c>
      <c r="B21" s="14" t="s">
        <v>74</v>
      </c>
      <c r="C21" s="15" t="s">
        <v>22</v>
      </c>
      <c r="D21" s="13" t="str">
        <f>vlookup(B21,Vert_Mapper!$A$2:$C$567,3,0)</f>
        <v>Software &amp; SaaS</v>
      </c>
      <c r="E21" s="13" t="s">
        <v>65</v>
      </c>
      <c r="F21" s="13" t="s">
        <v>30</v>
      </c>
      <c r="G21" s="13" t="str">
        <f t="shared" si="1"/>
        <v>HYPERGROWTH</v>
      </c>
      <c r="H21" s="13" t="s">
        <v>73</v>
      </c>
      <c r="I21" s="16">
        <f>IFERROR(__xludf.DUMMYFUNCTION("ROUND(
  MAX(
    MIN(
      (
        (VALUE(INDEX(SPLIT(K21,""-""),1)) + VALUE(INDEX(SPLIT(K21,""-""),2))) / 2
      ) *
      IFS(
        L21&gt;0.4, 1.6,
        L21&gt;0.1, 1.3,
        L21&gt;=-0.05, 1,
        L21&gt;=-0.2, 0.85,
        TRUE, 0.7
      ),
  "&amp;"    VALUE(INDEX(SPLIT(K21,""-""),2))
    ),
    VALUE(INDEX(SPLIT(K21,""-""),1))
  )
)"),200.0)</f>
        <v>200</v>
      </c>
      <c r="J21" s="17">
        <f>I21*(VLOOKUP(C21,'Rev_Mapping Table'!$A$1:$C$12,3,0))</f>
        <v>112800000</v>
      </c>
      <c r="K21" s="16" t="s">
        <v>32</v>
      </c>
      <c r="L21" s="18">
        <v>1.14</v>
      </c>
      <c r="M21" s="19" t="str">
        <f>VLOOKUP(B21,Master_Mapper!$A$2:$C$628,3,0)</f>
        <v>Cerity Partners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>
      <c r="A22" s="21" t="b">
        <v>0</v>
      </c>
      <c r="B22" s="31" t="s">
        <v>75</v>
      </c>
      <c r="C22" s="23" t="s">
        <v>46</v>
      </c>
      <c r="D22" s="21" t="str">
        <f>vlookup(B22,Vert_Mapper!$A$2:$C$567,3,0)</f>
        <v>Medical Devices &amp; Technology</v>
      </c>
      <c r="E22" s="21" t="s">
        <v>26</v>
      </c>
      <c r="F22" s="21" t="s">
        <v>18</v>
      </c>
      <c r="G22" s="21" t="str">
        <f t="shared" si="1"/>
        <v>DECLINING</v>
      </c>
      <c r="H22" s="21" t="s">
        <v>76</v>
      </c>
      <c r="I22" s="24">
        <f>IFERROR(__xludf.DUMMYFUNCTION("ROUND(
  MAX(
    MIN(
      (
        (VALUE(INDEX(SPLIT(K22,""-""),1)) + VALUE(INDEX(SPLIT(K22,""-""),2))) / 2
      ) *
      IFS(
        L22&gt;0.4, 1.6,
        L22&gt;0.1, 1.3,
        L22&gt;=-0.05, 1,
        L22&gt;=-0.2, 0.85,
        TRUE, 0.7
      ),
  "&amp;"    VALUE(INDEX(SPLIT(K22,""-""),2))
    ),
    VALUE(INDEX(SPLIT(K22,""-""),1))
  )
)"),64.0)</f>
        <v>64</v>
      </c>
      <c r="J22" s="25">
        <f>I22*(VLOOKUP(C22,'Rev_Mapping Table'!$A$1:$C$12,3,0))</f>
        <v>35584000</v>
      </c>
      <c r="K22" s="24" t="s">
        <v>77</v>
      </c>
      <c r="L22" s="26">
        <v>-0.07</v>
      </c>
      <c r="M22" s="27" t="str">
        <f>VLOOKUP(B22,Master_Mapper!$A$2:$C$628,3,0)</f>
        <v>Cerity Partners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>
      <c r="A23" s="13" t="b">
        <v>0</v>
      </c>
      <c r="B23" s="14" t="s">
        <v>78</v>
      </c>
      <c r="C23" s="15" t="s">
        <v>38</v>
      </c>
      <c r="D23" s="13" t="str">
        <f>vlookup(B23,Vert_Mapper!$A$2:$C$567,3,0)</f>
        <v>Venture Capital &amp; Private Equity</v>
      </c>
      <c r="E23" s="13" t="s">
        <v>79</v>
      </c>
      <c r="F23" s="13" t="s">
        <v>18</v>
      </c>
      <c r="G23" s="13" t="str">
        <f t="shared" si="1"/>
        <v>GROWTH PHASE</v>
      </c>
      <c r="H23" s="13" t="s">
        <v>80</v>
      </c>
      <c r="I23" s="16">
        <f>IFERROR(__xludf.DUMMYFUNCTION("ROUND(
  MAX(
    MIN(
      (
        (VALUE(INDEX(SPLIT(K23,""-""),1)) + VALUE(INDEX(SPLIT(K23,""-""),2))) / 2
      ) *
      IFS(
        L23&gt;0.4, 1.6,
        L23&gt;0.1, 1.3,
        L23&gt;=-0.05, 1,
        L23&gt;=-0.2, 0.85,
        TRUE, 0.7
      ),
  "&amp;"    VALUE(INDEX(SPLIT(K23,""-""),2))
    ),
    VALUE(INDEX(SPLIT(K23,""-""),1))
  )
)"),7501.0)</f>
        <v>7501</v>
      </c>
      <c r="J23" s="17">
        <f>I23*(VLOOKUP(C23,'Rev_Mapping Table'!$A$1:$C$12,3,0))</f>
        <v>6788405000</v>
      </c>
      <c r="K23" s="16" t="s">
        <v>81</v>
      </c>
      <c r="L23" s="18">
        <v>0.06</v>
      </c>
      <c r="M23" s="19" t="str">
        <f>VLOOKUP(B23,Master_Mapper!$A$2:$C$628,3,0)</f>
        <v>Cerity Partners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>
      <c r="A24" s="21" t="b">
        <v>0</v>
      </c>
      <c r="B24" s="31" t="s">
        <v>82</v>
      </c>
      <c r="C24" s="23" t="s">
        <v>38</v>
      </c>
      <c r="D24" s="21" t="str">
        <f>vlookup(B24,Vert_Mapper!$A$2:$C$567,3,0)</f>
        <v>Financial Technology &amp; Investment Services</v>
      </c>
      <c r="E24" s="21" t="s">
        <v>26</v>
      </c>
      <c r="F24" s="21" t="s">
        <v>18</v>
      </c>
      <c r="G24" s="21" t="str">
        <f t="shared" si="1"/>
        <v>ACCELERATED GROWTH</v>
      </c>
      <c r="H24" s="21" t="s">
        <v>83</v>
      </c>
      <c r="I24" s="24">
        <f>IFERROR(__xludf.DUMMYFUNCTION("ROUND(
  MAX(
    MIN(
      (
        (VALUE(INDEX(SPLIT(K24,""-""),1)) + VALUE(INDEX(SPLIT(K24,""-""),2))) / 2
      ) *
      IFS(
        L24&gt;0.4, 1.6,
        L24&gt;0.1, 1.3,
        L24&gt;=-0.05, 1,
        L24&gt;=-0.2, 0.85,
        TRUE, 0.7
      ),
  "&amp;"    VALUE(INDEX(SPLIT(K24,""-""),2))
    ),
    VALUE(INDEX(SPLIT(K24,""-""),1))
  )
)"),456.0)</f>
        <v>456</v>
      </c>
      <c r="J24" s="25">
        <f>I24*(VLOOKUP(C24,'Rev_Mapping Table'!$A$1:$C$12,3,0))</f>
        <v>412680000</v>
      </c>
      <c r="K24" s="24" t="s">
        <v>20</v>
      </c>
      <c r="L24" s="26">
        <v>0.31</v>
      </c>
      <c r="M24" s="27" t="str">
        <f>VLOOKUP(B24,Master_Mapper!$A$2:$C$628,3,0)</f>
        <v>Vibora Capital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>
      <c r="A25" s="13" t="b">
        <v>0</v>
      </c>
      <c r="B25" s="14" t="s">
        <v>84</v>
      </c>
      <c r="C25" s="15" t="s">
        <v>46</v>
      </c>
      <c r="D25" s="13" t="str">
        <f>vlookup(B25,Vert_Mapper!$A$2:$C$567,3,0)</f>
        <v>Biotechnology &amp; Pharmaceuticals</v>
      </c>
      <c r="E25" s="13" t="s">
        <v>85</v>
      </c>
      <c r="F25" s="13" t="s">
        <v>86</v>
      </c>
      <c r="G25" s="13" t="str">
        <f t="shared" si="1"/>
        <v>DECLINING</v>
      </c>
      <c r="H25" s="13" t="s">
        <v>66</v>
      </c>
      <c r="I25" s="16">
        <f>IFERROR(__xludf.DUMMYFUNCTION("ROUND(
  MAX(
    MIN(
      (
        (VALUE(INDEX(SPLIT(K25,""-""),1)) + VALUE(INDEX(SPLIT(K25,""-""),2))) / 2
      ) *
      IFS(
        L25&gt;0.4, 1.6,
        L25&gt;0.1, 1.3,
        L25&gt;=-0.05, 1,
        L25&gt;=-0.2, 0.85,
        TRUE, 0.7
      ),
  "&amp;"    VALUE(INDEX(SPLIT(K25,""-""),2))
    ),
    VALUE(INDEX(SPLIT(K25,""-""),1))
  )
)"),26.0)</f>
        <v>26</v>
      </c>
      <c r="J25" s="17">
        <f>I25*(VLOOKUP(C25,'Rev_Mapping Table'!$A$1:$C$12,3,0))</f>
        <v>14456000</v>
      </c>
      <c r="K25" s="16" t="s">
        <v>25</v>
      </c>
      <c r="L25" s="18">
        <v>-0.1</v>
      </c>
      <c r="M25" s="19" t="str">
        <f>VLOOKUP(B25,Master_Mapper!$A$2:$C$628,3,0)</f>
        <v>VentureSouth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>
      <c r="A26" s="21" t="b">
        <v>0</v>
      </c>
      <c r="B26" s="34" t="s">
        <v>87</v>
      </c>
      <c r="C26" s="23" t="s">
        <v>22</v>
      </c>
      <c r="D26" s="21" t="str">
        <f>vlookup(B26,Vert_Mapper!$A$2:$C$567,3,0)</f>
        <v>Security &amp; Cybersecurity</v>
      </c>
      <c r="E26" s="21" t="s">
        <v>65</v>
      </c>
      <c r="F26" s="21" t="s">
        <v>30</v>
      </c>
      <c r="G26" s="21" t="str">
        <f t="shared" si="1"/>
        <v>ACCELERATED GROWTH</v>
      </c>
      <c r="H26" s="21" t="s">
        <v>88</v>
      </c>
      <c r="I26" s="24">
        <f>IFERROR(__xludf.DUMMYFUNCTION("ROUND(
  MAX(
    MIN(
      (
        (VALUE(INDEX(SPLIT(K26,""-""),1)) + VALUE(INDEX(SPLIT(K26,""-""),2))) / 2
      ) *
      IFS(
        L26&gt;0.4, 1.6,
        L26&gt;0.1, 1.3,
        L26&gt;=-0.05, 1,
        L26&gt;=-0.2, 0.85,
        TRUE, 0.7
      ),
  "&amp;"    VALUE(INDEX(SPLIT(K26,""-""),2))
    ),
    VALUE(INDEX(SPLIT(K26,""-""),1))
  )
)"),163.0)</f>
        <v>163</v>
      </c>
      <c r="J26" s="25">
        <f>I26*(VLOOKUP(C26,'Rev_Mapping Table'!$A$1:$C$12,3,0))</f>
        <v>91932000</v>
      </c>
      <c r="K26" s="24" t="s">
        <v>32</v>
      </c>
      <c r="L26" s="26">
        <v>0.21</v>
      </c>
      <c r="M26" s="27" t="str">
        <f>VLOOKUP(B26,Master_Mapper!$A$2:$C$628,3,0)</f>
        <v>Cerity Partners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>
      <c r="A27" s="13" t="b">
        <v>0</v>
      </c>
      <c r="B27" s="14" t="s">
        <v>89</v>
      </c>
      <c r="C27" s="15" t="s">
        <v>16</v>
      </c>
      <c r="D27" s="13" t="str">
        <f>vlookup(B27,Vert_Mapper!$A$2:$C$567,3,0)</f>
        <v>#N/A</v>
      </c>
      <c r="E27" s="13" t="s">
        <v>26</v>
      </c>
      <c r="F27" s="13" t="s">
        <v>18</v>
      </c>
      <c r="G27" s="13" t="str">
        <f t="shared" si="1"/>
        <v>GROWTH PHASE</v>
      </c>
      <c r="H27" s="13" t="s">
        <v>90</v>
      </c>
      <c r="I27" s="16">
        <f>IFERROR(__xludf.DUMMYFUNCTION("ROUND(
  MAX(
    MIN(
      (
        (VALUE(INDEX(SPLIT(K27,""-""),1)) + VALUE(INDEX(SPLIT(K27,""-""),2))) / 2
      ) *
      IFS(
        L27&gt;0.4, 1.6,
        L27&gt;0.1, 1.3,
        L27&gt;=-0.05, 1,
        L27&gt;=-0.2, 0.85,
        TRUE, 0.7
      ),
  "&amp;"    VALUE(INDEX(SPLIT(K27,""-""),2))
    ),
    VALUE(INDEX(SPLIT(K27,""-""),1))
  )
)"),351.0)</f>
        <v>351</v>
      </c>
      <c r="J27" s="17">
        <f>I27*(VLOOKUP(C27,'Rev_Mapping Table'!$A$1:$C$12,3,0))</f>
        <v>173043000</v>
      </c>
      <c r="K27" s="16" t="s">
        <v>20</v>
      </c>
      <c r="L27" s="18">
        <v>0.09</v>
      </c>
      <c r="M27" s="19" t="str">
        <f>VLOOKUP(B27,Master_Mapper!$A$2:$C$628,3,0)</f>
        <v>Envest Capital Partners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>
      <c r="A28" s="21" t="b">
        <v>1</v>
      </c>
      <c r="B28" s="31" t="s">
        <v>91</v>
      </c>
      <c r="C28" s="23" t="s">
        <v>64</v>
      </c>
      <c r="D28" s="21" t="str">
        <f>vlookup(B28,Vert_Mapper!$A$2:$C$567,3,0)</f>
        <v>Agriculture Technology</v>
      </c>
      <c r="E28" s="21" t="s">
        <v>26</v>
      </c>
      <c r="F28" s="21" t="s">
        <v>18</v>
      </c>
      <c r="G28" s="21" t="str">
        <f t="shared" si="1"/>
        <v>DECLINING</v>
      </c>
      <c r="H28" s="21" t="s">
        <v>92</v>
      </c>
      <c r="I28" s="24">
        <f>IFERROR(__xludf.DUMMYFUNCTION("ROUND(
  MAX(
    MIN(
      (
        (VALUE(INDEX(SPLIT(K28,""-""),1)) + VALUE(INDEX(SPLIT(K28,""-""),2))) / 2
      ) *
      IFS(
        L28&gt;0.4, 1.6,
        L28&gt;0.1, 1.3,
        L28&gt;=-0.05, 1,
        L28&gt;=-0.2, 0.85,
        TRUE, 0.7
      ),
  "&amp;"    VALUE(INDEX(SPLIT(K28,""-""),2))
    ),
    VALUE(INDEX(SPLIT(K28,""-""),1))
  )
)"),107.0)</f>
        <v>107</v>
      </c>
      <c r="J28" s="25">
        <f>I28*(VLOOKUP(C28,'Rev_Mapping Table'!$A$1:$C$12,3,0))</f>
        <v>52751000</v>
      </c>
      <c r="K28" s="24" t="s">
        <v>32</v>
      </c>
      <c r="L28" s="26">
        <v>-0.17</v>
      </c>
      <c r="M28" s="27" t="str">
        <f>VLOOKUP(B28,Master_Mapper!$A$2:$C$628,3,0)</f>
        <v>VentureSouth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>
      <c r="A29" s="13" t="b">
        <v>0</v>
      </c>
      <c r="B29" s="14" t="s">
        <v>93</v>
      </c>
      <c r="C29" s="15" t="s">
        <v>46</v>
      </c>
      <c r="D29" s="13" t="str">
        <f>vlookup(B29,Vert_Mapper!$A$2:$C$567,3,0)</f>
        <v>Biotechnology &amp; Pharmaceuticals</v>
      </c>
      <c r="E29" s="13" t="s">
        <v>85</v>
      </c>
      <c r="F29" s="13" t="s">
        <v>86</v>
      </c>
      <c r="G29" s="13" t="str">
        <f t="shared" si="1"/>
        <v>HYPERGROWTH</v>
      </c>
      <c r="H29" s="13" t="s">
        <v>70</v>
      </c>
      <c r="I29" s="16" t="str">
        <f>IFERROR(__xludf.DUMMYFUNCTION("ROUND(
  MAX(
    MIN(
      (
        (VALUE(INDEX(SPLIT(K29,""-""),1)) + VALUE(INDEX(SPLIT(K29,""-""),2))) / 2
      ) *
      IFS(
        L29&gt;0.4, 1.6,
        L29&gt;0.1, 1.3,
        L29&gt;=-0.05, 1,
        L29&gt;=-0.2, 0.85,
        TRUE, 0.7
      ),
  "&amp;"    VALUE(INDEX(SPLIT(K29,""-""),2))
    ),
    VALUE(INDEX(SPLIT(K29,""-""),1))
  )
)"),"#VALUE!")</f>
        <v>#VALUE!</v>
      </c>
      <c r="J29" s="17" t="str">
        <f>I29*(VLOOKUP(C29,'Rev_Mapping Table'!$A$1:$C$12,3,0))</f>
        <v>#VALUE!</v>
      </c>
      <c r="K29" s="33" t="s">
        <v>70</v>
      </c>
      <c r="L29" s="33" t="s">
        <v>70</v>
      </c>
      <c r="M29" s="19" t="str">
        <f>VLOOKUP(B29,Master_Mapper!$A$2:$C$628,3,0)</f>
        <v>Harbor Island Equity Partners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>
      <c r="A30" s="21" t="b">
        <v>0</v>
      </c>
      <c r="B30" s="31" t="s">
        <v>94</v>
      </c>
      <c r="C30" s="23" t="s">
        <v>16</v>
      </c>
      <c r="D30" s="21" t="str">
        <f>vlookup(B30,Vert_Mapper!$A$2:$C$567,3,0)</f>
        <v>Aerospace and Defense</v>
      </c>
      <c r="E30" s="21" t="s">
        <v>26</v>
      </c>
      <c r="F30" s="21" t="s">
        <v>30</v>
      </c>
      <c r="G30" s="21" t="str">
        <f t="shared" si="1"/>
        <v>ACCELERATED GROWTH</v>
      </c>
      <c r="H30" s="21" t="s">
        <v>95</v>
      </c>
      <c r="I30" s="24">
        <f>IFERROR(__xludf.DUMMYFUNCTION("ROUND(
  MAX(
    MIN(
      (
        (VALUE(INDEX(SPLIT(K30,""-""),1)) + VALUE(INDEX(SPLIT(K30,""-""),2))) / 2
      ) *
      IFS(
        L30&gt;0.4, 1.6,
        L30&gt;0.1, 1.3,
        L30&gt;=-0.05, 1,
        L30&gt;=-0.2, 0.85,
        TRUE, 0.7
      ),
  "&amp;"    VALUE(INDEX(SPLIT(K30,""-""),2))
    ),
    VALUE(INDEX(SPLIT(K30,""-""),1))
  )
)"),4801.0)</f>
        <v>4801</v>
      </c>
      <c r="J30" s="25">
        <f>I30*(VLOOKUP(C30,'Rev_Mapping Table'!$A$1:$C$12,3,0))</f>
        <v>2366893000</v>
      </c>
      <c r="K30" s="24" t="s">
        <v>96</v>
      </c>
      <c r="L30" s="26">
        <v>0.77</v>
      </c>
      <c r="M30" s="27" t="str">
        <f>VLOOKUP(B30,Master_Mapper!$A$2:$C$628,3,0)</f>
        <v>Vibora Capital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>
      <c r="A31" s="13" t="b">
        <v>0</v>
      </c>
      <c r="B31" s="14" t="s">
        <v>97</v>
      </c>
      <c r="C31" s="15" t="s">
        <v>72</v>
      </c>
      <c r="D31" s="13" t="str">
        <f>vlookup(B31,Vert_Mapper!$A$2:$C$567,3,0)</f>
        <v>Media &amp; Entertainment Technology</v>
      </c>
      <c r="E31" s="13" t="s">
        <v>26</v>
      </c>
      <c r="F31" s="13" t="s">
        <v>18</v>
      </c>
      <c r="G31" s="13" t="str">
        <f t="shared" si="1"/>
        <v>GROWTH PHASE</v>
      </c>
      <c r="H31" s="13" t="s">
        <v>98</v>
      </c>
      <c r="I31" s="16">
        <f>IFERROR(__xludf.DUMMYFUNCTION("ROUND(
  MAX(
    MIN(
      (
        (VALUE(INDEX(SPLIT(K31,""-""),1)) + VALUE(INDEX(SPLIT(K31,""-""),2))) / 2
      ) *
      IFS(
        L31&gt;0.4, 1.6,
        L31&gt;0.1, 1.3,
        L31&gt;=-0.05, 1,
        L31&gt;=-0.2, 0.85,
        TRUE, 0.7
      ),
  "&amp;"    VALUE(INDEX(SPLIT(K31,""-""),2))
    ),
    VALUE(INDEX(SPLIT(K31,""-""),1))
  )
)"),126.0)</f>
        <v>126</v>
      </c>
      <c r="J31" s="17">
        <f>I31*(VLOOKUP(C31,'Rev_Mapping Table'!$A$1:$C$12,3,0))</f>
        <v>71064000</v>
      </c>
      <c r="K31" s="16" t="s">
        <v>32</v>
      </c>
      <c r="L31" s="18">
        <v>0.05</v>
      </c>
      <c r="M31" s="19" t="str">
        <f>VLOOKUP(B31,Master_Mapper!$A$2:$C$628,3,0)</f>
        <v>Vibora Capital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>
      <c r="A32" s="21" t="b">
        <v>0</v>
      </c>
      <c r="B32" s="31" t="s">
        <v>99</v>
      </c>
      <c r="C32" s="23" t="s">
        <v>22</v>
      </c>
      <c r="D32" s="21" t="str">
        <f>vlookup(B32,Vert_Mapper!$A$2:$C$567,3,0)</f>
        <v>Artificial Intelligence &amp; Machine Learning</v>
      </c>
      <c r="E32" s="21" t="s">
        <v>65</v>
      </c>
      <c r="F32" s="21" t="s">
        <v>30</v>
      </c>
      <c r="G32" s="21" t="str">
        <f t="shared" si="1"/>
        <v>FLAT TO NEUTRAL</v>
      </c>
      <c r="H32" s="21" t="s">
        <v>100</v>
      </c>
      <c r="I32" s="24" t="str">
        <f>IFERROR(__xludf.DUMMYFUNCTION("ROUND(
  MAX(
    MIN(
      (
        (VALUE(INDEX(SPLIT(K32,""-""),1)) + VALUE(INDEX(SPLIT(K32,""-""),2))) / 2
      ) *
      IFS(
        L32&gt;0.4, 1.6,
        L32&gt;0.1, 1.3,
        L32&gt;=-0.05, 1,
        L32&gt;=-0.2, 0.85,
        TRUE, 0.7
      ),
  "&amp;"    VALUE(INDEX(SPLIT(K32,""-""),2))
    ),
    VALUE(INDEX(SPLIT(K32,""-""),1))
  )
)"),"#REF!")</f>
        <v>#REF!</v>
      </c>
      <c r="J32" s="25" t="str">
        <f>I32*(VLOOKUP(C32,'Rev_Mapping Table'!$A$1:$C$12,3,0))</f>
        <v>#REF!</v>
      </c>
      <c r="K32" s="24">
        <v>1.0</v>
      </c>
      <c r="L32" s="26">
        <v>0.0</v>
      </c>
      <c r="M32" s="27" t="str">
        <f>VLOOKUP(B32,Master_Mapper!$A$2:$C$628,3,0)</f>
        <v/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>
      <c r="A33" s="13" t="b">
        <v>0</v>
      </c>
      <c r="B33" s="14" t="s">
        <v>101</v>
      </c>
      <c r="C33" s="15" t="s">
        <v>22</v>
      </c>
      <c r="D33" s="13" t="str">
        <f>vlookup(B33,Vert_Mapper!$A$2:$C$567,3,0)</f>
        <v>Security &amp; Cybersecurity</v>
      </c>
      <c r="E33" s="13" t="s">
        <v>26</v>
      </c>
      <c r="F33" s="13" t="s">
        <v>18</v>
      </c>
      <c r="G33" s="13" t="str">
        <f t="shared" si="1"/>
        <v>DECLINING</v>
      </c>
      <c r="H33" s="13" t="s">
        <v>102</v>
      </c>
      <c r="I33" s="16">
        <f>IFERROR(__xludf.DUMMYFUNCTION("ROUND(
  MAX(
    MIN(
      (
        (VALUE(INDEX(SPLIT(K33,""-""),1)) + VALUE(INDEX(SPLIT(K33,""-""),2))) / 2
      ) *
      IFS(
        L33&gt;0.4, 1.6,
        L33&gt;0.1, 1.3,
        L33&gt;=-0.05, 1,
        L33&gt;=-0.2, 0.85,
        TRUE, 0.7
      ),
  "&amp;"    VALUE(INDEX(SPLIT(K33,""-""),2))
    ),
    VALUE(INDEX(SPLIT(K33,""-""),1))
  )
)"),126.0)</f>
        <v>126</v>
      </c>
      <c r="J33" s="17">
        <f>I33*(VLOOKUP(C33,'Rev_Mapping Table'!$A$1:$C$12,3,0))</f>
        <v>71064000</v>
      </c>
      <c r="K33" s="16" t="s">
        <v>32</v>
      </c>
      <c r="L33" s="18">
        <v>-0.04</v>
      </c>
      <c r="M33" s="19" t="str">
        <f>VLOOKUP(B33,Master_Mapper!$A$2:$C$628,3,0)</f>
        <v/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>
      <c r="A34" s="21" t="b">
        <v>0</v>
      </c>
      <c r="B34" s="31" t="s">
        <v>103</v>
      </c>
      <c r="C34" s="23" t="s">
        <v>46</v>
      </c>
      <c r="D34" s="21" t="str">
        <f>vlookup(B34,Vert_Mapper!$A$2:$C$567,3,0)</f>
        <v>Biotechnology &amp; Pharmaceuticals</v>
      </c>
      <c r="E34" s="21" t="s">
        <v>26</v>
      </c>
      <c r="F34" s="21" t="s">
        <v>18</v>
      </c>
      <c r="G34" s="21" t="str">
        <f t="shared" si="1"/>
        <v>GROWTH PHASE</v>
      </c>
      <c r="H34" s="21" t="s">
        <v>104</v>
      </c>
      <c r="I34" s="24">
        <f>IFERROR(__xludf.DUMMYFUNCTION("ROUND(
  MAX(
    MIN(
      (
        (VALUE(INDEX(SPLIT(K34,""-""),1)) + VALUE(INDEX(SPLIT(K34,""-""),2))) / 2
      ) *
      IFS(
        L34&gt;0.4, 1.6,
        L34&gt;0.1, 1.3,
        L34&gt;=-0.05, 1,
        L34&gt;=-0.2, 0.85,
        TRUE, 0.7
      ),
  "&amp;"    VALUE(INDEX(SPLIT(K34,""-""),2))
    ),
    VALUE(INDEX(SPLIT(K34,""-""),1))
  )
)"),31.0)</f>
        <v>31</v>
      </c>
      <c r="J34" s="25">
        <f>I34*(VLOOKUP(C34,'Rev_Mapping Table'!$A$1:$C$12,3,0))</f>
        <v>17236000</v>
      </c>
      <c r="K34" s="24" t="s">
        <v>25</v>
      </c>
      <c r="L34" s="26">
        <v>0.1</v>
      </c>
      <c r="M34" s="27" t="str">
        <f>VLOOKUP(B34,Master_Mapper!$A$2:$C$628,3,0)</f>
        <v>QHP Capital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>
      <c r="A35" s="13" t="b">
        <v>0</v>
      </c>
      <c r="B35" s="14" t="s">
        <v>105</v>
      </c>
      <c r="C35" s="15" t="s">
        <v>22</v>
      </c>
      <c r="D35" s="13" t="str">
        <f>vlookup(B35,Vert_Mapper!$A$2:$C$567,3,0)</f>
        <v>Software &amp; SaaS</v>
      </c>
      <c r="E35" s="13" t="s">
        <v>26</v>
      </c>
      <c r="F35" s="13" t="s">
        <v>18</v>
      </c>
      <c r="G35" s="13" t="str">
        <f t="shared" si="1"/>
        <v>GROWTH PHASE</v>
      </c>
      <c r="H35" s="13" t="s">
        <v>83</v>
      </c>
      <c r="I35" s="16">
        <f>IFERROR(__xludf.DUMMYFUNCTION("ROUND(
  MAX(
    MIN(
      (
        (VALUE(INDEX(SPLIT(K35,""-""),1)) + VALUE(INDEX(SPLIT(K35,""-""),2))) / 2
      ) *
      IFS(
        L35&gt;0.4, 1.6,
        L35&gt;0.1, 1.3,
        L35&gt;=-0.05, 1,
        L35&gt;=-0.2, 0.85,
        TRUE, 0.7
      ),
  "&amp;"    VALUE(INDEX(SPLIT(K35,""-""),2))
    ),
    VALUE(INDEX(SPLIT(K35,""-""),1))
  )
)"),163.0)</f>
        <v>163</v>
      </c>
      <c r="J35" s="17">
        <f>I35*(VLOOKUP(C35,'Rev_Mapping Table'!$A$1:$C$12,3,0))</f>
        <v>91932000</v>
      </c>
      <c r="K35" s="16" t="s">
        <v>32</v>
      </c>
      <c r="L35" s="18">
        <v>0.18</v>
      </c>
      <c r="M35" s="19" t="str">
        <f>VLOOKUP(B35,Master_Mapper!$A$2:$C$628,3,0)</f>
        <v>Cerity Partners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>
      <c r="A36" s="21" t="b">
        <v>0</v>
      </c>
      <c r="B36" s="31" t="s">
        <v>106</v>
      </c>
      <c r="C36" s="23" t="s">
        <v>16</v>
      </c>
      <c r="D36" s="21" t="str">
        <f>vlookup(B36,Vert_Mapper!$A$2:$C$567,3,0)</f>
        <v>Home Services / Construction / Industrial Services</v>
      </c>
      <c r="E36" s="21" t="s">
        <v>29</v>
      </c>
      <c r="F36" s="21" t="s">
        <v>34</v>
      </c>
      <c r="G36" s="21" t="str">
        <f t="shared" si="1"/>
        <v>GROWTH PHASE</v>
      </c>
      <c r="H36" s="21" t="s">
        <v>107</v>
      </c>
      <c r="I36" s="24">
        <f>IFERROR(__xludf.DUMMYFUNCTION("ROUND(
  MAX(
    MIN(
      (
        (VALUE(INDEX(SPLIT(K36,""-""),1)) + VALUE(INDEX(SPLIT(K36,""-""),2))) / 2
      ) *
      IFS(
        L36&gt;0.4, 1.6,
        L36&gt;0.1, 1.3,
        L36&gt;=-0.05, 1,
        L36&gt;=-0.2, 0.85,
        TRUE, 0.7
      ),
  "&amp;"    VALUE(INDEX(SPLIT(K36,""-""),2))
    ),
    VALUE(INDEX(SPLIT(K36,""-""),1))
  )
)"),3001.0)</f>
        <v>3001</v>
      </c>
      <c r="J36" s="25">
        <f>I36*(VLOOKUP(C36,'Rev_Mapping Table'!$A$1:$C$12,3,0))</f>
        <v>1479493000</v>
      </c>
      <c r="K36" s="24" t="s">
        <v>96</v>
      </c>
      <c r="L36" s="26">
        <v>0.04</v>
      </c>
      <c r="M36" s="27" t="str">
        <f>VLOOKUP(B36,Master_Mapper!$A$2:$C$628,3,0)</f>
        <v>Succession Capital Partners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>
      <c r="A37" s="13" t="b">
        <v>1</v>
      </c>
      <c r="B37" s="14" t="s">
        <v>108</v>
      </c>
      <c r="C37" s="15" t="s">
        <v>64</v>
      </c>
      <c r="D37" s="13" t="str">
        <f>vlookup(B37,Vert_Mapper!$A$2:$C$567,3,0)</f>
        <v>Environmental &amp; Sustainability</v>
      </c>
      <c r="E37" s="13" t="s">
        <v>26</v>
      </c>
      <c r="F37" s="13" t="s">
        <v>18</v>
      </c>
      <c r="G37" s="13" t="str">
        <f t="shared" si="1"/>
        <v>FLAT TO NEUTRAL</v>
      </c>
      <c r="H37" s="13" t="s">
        <v>109</v>
      </c>
      <c r="I37" s="16">
        <f>IFERROR(__xludf.DUMMYFUNCTION("ROUND(
  MAX(
    MIN(
      (
        (VALUE(INDEX(SPLIT(K37,""-""),1)) + VALUE(INDEX(SPLIT(K37,""-""),2))) / 2
      ) *
      IFS(
        L37&gt;0.4, 1.6,
        L37&gt;0.1, 1.3,
        L37&gt;=-0.05, 1,
        L37&gt;=-0.2, 0.85,
        TRUE, 0.7
      ),
  "&amp;"    VALUE(INDEX(SPLIT(K37,""-""),2))
    ),
    VALUE(INDEX(SPLIT(K37,""-""),1))
  )
)"),6.0)</f>
        <v>6</v>
      </c>
      <c r="J37" s="17">
        <f>I37*(VLOOKUP(C37,'Rev_Mapping Table'!$A$1:$C$12,3,0))</f>
        <v>2958000</v>
      </c>
      <c r="K37" s="30">
        <v>45698.0</v>
      </c>
      <c r="L37" s="18">
        <v>0.0</v>
      </c>
      <c r="M37" s="19" t="str">
        <f>VLOOKUP(B37,Master_Mapper!$A$2:$C$628,3,0)</f>
        <v>Vibora Capital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>
      <c r="A38" s="21" t="b">
        <v>0</v>
      </c>
      <c r="B38" s="31" t="s">
        <v>110</v>
      </c>
      <c r="C38" s="23" t="s">
        <v>111</v>
      </c>
      <c r="D38" s="21" t="str">
        <f>vlookup(B38,Vert_Mapper!$A$2:$C$567,3,0)</f>
        <v>Food &amp; Beverage Manufacturing</v>
      </c>
      <c r="E38" s="21" t="s">
        <v>26</v>
      </c>
      <c r="F38" s="21" t="s">
        <v>18</v>
      </c>
      <c r="G38" s="21" t="str">
        <f t="shared" si="1"/>
        <v>DECLINING</v>
      </c>
      <c r="H38" s="21" t="s">
        <v>112</v>
      </c>
      <c r="I38" s="24">
        <f>IFERROR(__xludf.DUMMYFUNCTION("ROUND(
  MAX(
    MIN(
      (
        (VALUE(INDEX(SPLIT(K38,""-""),1)) + VALUE(INDEX(SPLIT(K38,""-""),2))) / 2
      ) *
      IFS(
        L38&gt;0.4, 1.6,
        L38&gt;0.1, 1.3,
        L38&gt;=-0.05, 1,
        L38&gt;=-0.2, 0.85,
        TRUE, 0.7
      ),
  "&amp;"    VALUE(INDEX(SPLIT(K38,""-""),2))
    ),
    VALUE(INDEX(SPLIT(K38,""-""),1))
  )
)"),126.0)</f>
        <v>126</v>
      </c>
      <c r="J38" s="25">
        <f>I38*(VLOOKUP(C38,'Rev_Mapping Table'!$A$1:$C$12,3,0))</f>
        <v>70056000</v>
      </c>
      <c r="K38" s="24" t="s">
        <v>32</v>
      </c>
      <c r="L38" s="26">
        <v>-0.02</v>
      </c>
      <c r="M38" s="27" t="str">
        <f>VLOOKUP(B38,Master_Mapper!$A$2:$C$628,3,0)</f>
        <v>Investors Management Corp (IMC)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>
      <c r="A39" s="13" t="b">
        <v>0</v>
      </c>
      <c r="B39" s="14" t="s">
        <v>113</v>
      </c>
      <c r="C39" s="15" t="s">
        <v>42</v>
      </c>
      <c r="D39" s="13" t="str">
        <f>vlookup(B39,Vert_Mapper!$A$2:$C$567,3,0)</f>
        <v>Property Management &amp; Services</v>
      </c>
      <c r="E39" s="13" t="s">
        <v>26</v>
      </c>
      <c r="F39" s="13" t="s">
        <v>18</v>
      </c>
      <c r="G39" s="13" t="str">
        <f t="shared" si="1"/>
        <v>SEVERELY NEGATIVE</v>
      </c>
      <c r="H39" s="13" t="s">
        <v>31</v>
      </c>
      <c r="I39" s="16">
        <f>IFERROR(__xludf.DUMMYFUNCTION("ROUND(
  MAX(
    MIN(
      (
        (VALUE(INDEX(SPLIT(K39,""-""),1)) + VALUE(INDEX(SPLIT(K39,""-""),2))) / 2
      ) *
      IFS(
        L39&gt;0.4, 1.6,
        L39&gt;0.1, 1.3,
        L39&gt;=-0.05, 1,
        L39&gt;=-0.2, 0.85,
        TRUE, 0.7
      ),
  "&amp;"    VALUE(INDEX(SPLIT(K39,""-""),2))
    ),
    VALUE(INDEX(SPLIT(K39,""-""),1))
  )
)"),21.0)</f>
        <v>21</v>
      </c>
      <c r="J39" s="17">
        <f>I39*(VLOOKUP(C39,'Rev_Mapping Table'!$A$1:$C$12,3,0))</f>
        <v>9660000</v>
      </c>
      <c r="K39" s="16" t="s">
        <v>25</v>
      </c>
      <c r="L39" s="18">
        <v>-0.5</v>
      </c>
      <c r="M39" s="19" t="str">
        <f>VLOOKUP(B39,Master_Mapper!$A$2:$C$628,3,0)</f>
        <v>EF Capital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</row>
    <row r="40">
      <c r="A40" s="21" t="b">
        <v>0</v>
      </c>
      <c r="B40" s="31" t="s">
        <v>114</v>
      </c>
      <c r="C40" s="23" t="s">
        <v>22</v>
      </c>
      <c r="D40" s="21" t="str">
        <f>vlookup(B40,Vert_Mapper!$A$2:$C$567,3,0)</f>
        <v>Security &amp; Cybersecurity</v>
      </c>
      <c r="E40" s="21" t="s">
        <v>26</v>
      </c>
      <c r="F40" s="21" t="s">
        <v>30</v>
      </c>
      <c r="G40" s="21" t="str">
        <f t="shared" si="1"/>
        <v>ACCELERATED GROWTH</v>
      </c>
      <c r="H40" s="21" t="s">
        <v>115</v>
      </c>
      <c r="I40" s="24">
        <f>IFERROR(__xludf.DUMMYFUNCTION("ROUND(
  MAX(
    MIN(
      (
        (VALUE(INDEX(SPLIT(K40,""-""),1)) + VALUE(INDEX(SPLIT(K40,""-""),2))) / 2
      ) *
      IFS(
        L40&gt;0.4, 1.6,
        L40&gt;0.1, 1.3,
        L40&gt;=-0.05, 1,
        L40&gt;=-0.2, 0.85,
        TRUE, 0.7
      ),
  "&amp;"    VALUE(INDEX(SPLIT(K40,""-""),2))
    ),
    VALUE(INDEX(SPLIT(K40,""-""),1))
  )
)"),3901.0)</f>
        <v>3901</v>
      </c>
      <c r="J40" s="25">
        <f>I40*(VLOOKUP(C40,'Rev_Mapping Table'!$A$1:$C$12,3,0))</f>
        <v>2200164000</v>
      </c>
      <c r="K40" s="24" t="s">
        <v>96</v>
      </c>
      <c r="L40" s="26">
        <v>0.23</v>
      </c>
      <c r="M40" s="27" t="str">
        <f>VLOOKUP(B40,Master_Mapper!$A$2:$C$628,3,0)</f>
        <v>Vibora Capital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>
      <c r="A41" s="13" t="b">
        <v>0</v>
      </c>
      <c r="B41" s="14" t="s">
        <v>116</v>
      </c>
      <c r="C41" s="15" t="s">
        <v>46</v>
      </c>
      <c r="D41" s="13" t="str">
        <f>vlookup(B41,Vert_Mapper!$A$2:$C$567,3,0)</f>
        <v>Clinical Research &amp; Services</v>
      </c>
      <c r="E41" s="13" t="s">
        <v>26</v>
      </c>
      <c r="F41" s="13" t="s">
        <v>18</v>
      </c>
      <c r="G41" s="13" t="str">
        <f t="shared" si="1"/>
        <v>FLAT TO NEUTRAL</v>
      </c>
      <c r="H41" s="13" t="s">
        <v>117</v>
      </c>
      <c r="I41" s="16">
        <f>IFERROR(__xludf.DUMMYFUNCTION("ROUND(
  MAX(
    MIN(
      (
        (VALUE(INDEX(SPLIT(K41,""-""),1)) + VALUE(INDEX(SPLIT(K41,""-""),2))) / 2
      ) *
      IFS(
        L41&gt;0.4, 1.6,
        L41&gt;0.1, 1.3,
        L41&gt;=-0.05, 1,
        L41&gt;=-0.2, 0.85,
        TRUE, 0.7
      ),
  "&amp;"    VALUE(INDEX(SPLIT(K41,""-""),2))
    ),
    VALUE(INDEX(SPLIT(K41,""-""),1))
  )
)"),31.0)</f>
        <v>31</v>
      </c>
      <c r="J41" s="17">
        <f>I41*(VLOOKUP(C41,'Rev_Mapping Table'!$A$1:$C$12,3,0))</f>
        <v>17236000</v>
      </c>
      <c r="K41" s="16" t="s">
        <v>25</v>
      </c>
      <c r="L41" s="18">
        <v>0.0</v>
      </c>
      <c r="M41" s="19" t="str">
        <f>VLOOKUP(B41,Master_Mapper!$A$2:$C$628,3,0)</f>
        <v>NovaQuest Capital Mgmt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</row>
    <row r="42">
      <c r="A42" s="21" t="b">
        <v>0</v>
      </c>
      <c r="B42" s="31" t="s">
        <v>118</v>
      </c>
      <c r="C42" s="23" t="s">
        <v>42</v>
      </c>
      <c r="D42" s="21" t="str">
        <f>vlookup(B42,Vert_Mapper!$A$2:$C$567,3,0)</f>
        <v>Hospitality &amp; Resorts</v>
      </c>
      <c r="E42" s="21" t="s">
        <v>26</v>
      </c>
      <c r="F42" s="21" t="s">
        <v>18</v>
      </c>
      <c r="G42" s="21" t="str">
        <f t="shared" si="1"/>
        <v>DECLINING</v>
      </c>
      <c r="H42" s="21" t="s">
        <v>119</v>
      </c>
      <c r="I42" s="24">
        <f>IFERROR(__xludf.DUMMYFUNCTION("ROUND(
  MAX(
    MIN(
      (
        (VALUE(INDEX(SPLIT(K42,""-""),1)) + VALUE(INDEX(SPLIT(K42,""-""),2))) / 2
      ) *
      IFS(
        L42&gt;0.4, 1.6,
        L42&gt;0.1, 1.3,
        L42&gt;=-0.05, 1,
        L42&gt;=-0.2, 0.85,
        TRUE, 0.7
      ),
  "&amp;"    VALUE(INDEX(SPLIT(K42,""-""),2))
    ),
    VALUE(INDEX(SPLIT(K42,""-""),1))
  )
)"),751.0)</f>
        <v>751</v>
      </c>
      <c r="J42" s="25">
        <f>I42*(VLOOKUP(C42,'Rev_Mapping Table'!$A$1:$C$12,3,0))</f>
        <v>345460000</v>
      </c>
      <c r="K42" s="24" t="s">
        <v>54</v>
      </c>
      <c r="L42" s="26">
        <v>-0.01</v>
      </c>
      <c r="M42" s="27" t="str">
        <f>VLOOKUP(B42,Master_Mapper!$A$2:$C$628,3,0)</f>
        <v>South Street Partners (Charlotte)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>
      <c r="A43" s="13" t="b">
        <v>0</v>
      </c>
      <c r="B43" s="14" t="s">
        <v>120</v>
      </c>
      <c r="C43" s="15" t="s">
        <v>16</v>
      </c>
      <c r="D43" s="13" t="str">
        <f>vlookup(B43,Vert_Mapper!$A$2:$C$567,3,0)</f>
        <v>Transportation &amp; Logistics</v>
      </c>
      <c r="E43" s="13" t="s">
        <v>121</v>
      </c>
      <c r="F43" s="13" t="s">
        <v>34</v>
      </c>
      <c r="G43" s="13" t="str">
        <f t="shared" si="1"/>
        <v>GROWTH PHASE</v>
      </c>
      <c r="H43" s="13" t="s">
        <v>73</v>
      </c>
      <c r="I43" s="16">
        <f>IFERROR(__xludf.DUMMYFUNCTION("ROUND(
  MAX(
    MIN(
      (
        (VALUE(INDEX(SPLIT(K43,""-""),1)) + VALUE(INDEX(SPLIT(K43,""-""),2))) / 2
      ) *
      IFS(
        L43&gt;0.4, 1.6,
        L43&gt;0.1, 1.3,
        L43&gt;=-0.05, 1,
        L43&gt;=-0.2, 0.85,
        TRUE, 0.7
      ),
  "&amp;"    VALUE(INDEX(SPLIT(K43,""-""),2))
    ),
    VALUE(INDEX(SPLIT(K43,""-""),1))
  )
)"),351.0)</f>
        <v>351</v>
      </c>
      <c r="J43" s="17">
        <f>I43*(VLOOKUP(C43,'Rev_Mapping Table'!$A$1:$C$12,3,0))</f>
        <v>173043000</v>
      </c>
      <c r="K43" s="16" t="s">
        <v>20</v>
      </c>
      <c r="L43" s="18">
        <v>0.08</v>
      </c>
      <c r="M43" s="19" t="str">
        <f>VLOOKUP(B43,Master_Mapper!$A$2:$C$628,3,0)</f>
        <v>Carousel Capital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</row>
    <row r="44">
      <c r="A44" s="21" t="b">
        <v>0</v>
      </c>
      <c r="B44" s="31" t="s">
        <v>122</v>
      </c>
      <c r="C44" s="23" t="s">
        <v>56</v>
      </c>
      <c r="D44" s="21" t="str">
        <f>vlookup(B44,Vert_Mapper!$A$2:$C$567,3,0)</f>
        <v>Consumer Products</v>
      </c>
      <c r="E44" s="21" t="s">
        <v>26</v>
      </c>
      <c r="F44" s="21" t="s">
        <v>18</v>
      </c>
      <c r="G44" s="21" t="str">
        <f t="shared" si="1"/>
        <v>GROWTH PHASE</v>
      </c>
      <c r="H44" s="21" t="s">
        <v>123</v>
      </c>
      <c r="I44" s="24">
        <f>IFERROR(__xludf.DUMMYFUNCTION("ROUND(
  MAX(
    MIN(
      (
        (VALUE(INDEX(SPLIT(K44,""-""),1)) + VALUE(INDEX(SPLIT(K44,""-""),2))) / 2
      ) *
      IFS(
        L44&gt;0.4, 1.6,
        L44&gt;0.1, 1.3,
        L44&gt;=-0.05, 1,
        L44&gt;=-0.2, 0.85,
        TRUE, 0.7
      ),
  "&amp;"    VALUE(INDEX(SPLIT(K44,""-""),2))
    ),
    VALUE(INDEX(SPLIT(K44,""-""),1))
  )
)"),976.0)</f>
        <v>976</v>
      </c>
      <c r="J44" s="25">
        <f>I44*(VLOOKUP(C44,'Rev_Mapping Table'!$A$1:$C$12,3,0))</f>
        <v>499712000</v>
      </c>
      <c r="K44" s="24" t="s">
        <v>54</v>
      </c>
      <c r="L44" s="26">
        <v>0.11</v>
      </c>
      <c r="M44" s="27" t="str">
        <f>VLOOKUP(B44,Master_Mapper!$A$2:$C$628,3,0)</f>
        <v/>
      </c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>
      <c r="A45" s="13" t="b">
        <v>0</v>
      </c>
      <c r="B45" s="14" t="s">
        <v>124</v>
      </c>
      <c r="C45" s="15" t="s">
        <v>56</v>
      </c>
      <c r="D45" s="13" t="str">
        <f>vlookup(B45,Vert_Mapper!$A$2:$C$567,3,0)</f>
        <v>Consumer Products</v>
      </c>
      <c r="E45" s="13" t="s">
        <v>26</v>
      </c>
      <c r="F45" s="13" t="s">
        <v>18</v>
      </c>
      <c r="G45" s="13" t="str">
        <f t="shared" si="1"/>
        <v>DECLINING</v>
      </c>
      <c r="H45" s="13" t="s">
        <v>125</v>
      </c>
      <c r="I45" s="16">
        <f>IFERROR(__xludf.DUMMYFUNCTION("ROUND(
  MAX(
    MIN(
      (
        (VALUE(INDEX(SPLIT(K45,""-""),1)) + VALUE(INDEX(SPLIT(K45,""-""),2))) / 2
      ) *
      IFS(
        L45&gt;0.4, 1.6,
        L45&gt;0.1, 1.3,
        L45&gt;=-0.05, 1,
        L45&gt;=-0.2, 0.85,
        TRUE, 0.7
      ),
  "&amp;"    VALUE(INDEX(SPLIT(K45,""-""),2))
    ),
    VALUE(INDEX(SPLIT(K45,""-""),1))
  )
)"),26.0)</f>
        <v>26</v>
      </c>
      <c r="J45" s="17">
        <f>I45*(VLOOKUP(C45,'Rev_Mapping Table'!$A$1:$C$12,3,0))</f>
        <v>13312000</v>
      </c>
      <c r="K45" s="16" t="s">
        <v>25</v>
      </c>
      <c r="L45" s="18">
        <v>-0.07</v>
      </c>
      <c r="M45" s="19" t="str">
        <f>VLOOKUP(B45,Master_Mapper!$A$2:$C$628,3,0)</f>
        <v>Summit Park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>
      <c r="A46" s="21" t="b">
        <v>0</v>
      </c>
      <c r="B46" s="31" t="s">
        <v>126</v>
      </c>
      <c r="C46" s="23" t="s">
        <v>46</v>
      </c>
      <c r="D46" s="21" t="str">
        <f>vlookup(B46,Vert_Mapper!$A$2:$C$567,3,0)</f>
        <v>Medical Devices &amp; Technology</v>
      </c>
      <c r="E46" s="21" t="s">
        <v>26</v>
      </c>
      <c r="F46" s="21" t="s">
        <v>18</v>
      </c>
      <c r="G46" s="21" t="str">
        <f t="shared" si="1"/>
        <v>FLAT TO NEUTRAL</v>
      </c>
      <c r="H46" s="21" t="s">
        <v>127</v>
      </c>
      <c r="I46" s="24">
        <f>IFERROR(__xludf.DUMMYFUNCTION("ROUND(
  MAX(
    MIN(
      (
        (VALUE(INDEX(SPLIT(K46,""-""),1)) + VALUE(INDEX(SPLIT(K46,""-""),2))) / 2
      ) *
      IFS(
        L46&gt;0.4, 1.6,
        L46&gt;0.1, 1.3,
        L46&gt;=-0.05, 1,
        L46&gt;=-0.2, 0.85,
        TRUE, 0.7
      ),
  "&amp;"    VALUE(INDEX(SPLIT(K46,""-""),2))
    ),
    VALUE(INDEX(SPLIT(K46,""-""),1))
  )
)"),6.0)</f>
        <v>6</v>
      </c>
      <c r="J46" s="25">
        <f>I46*(VLOOKUP(C46,'Rev_Mapping Table'!$A$1:$C$12,3,0))</f>
        <v>3336000</v>
      </c>
      <c r="K46" s="32">
        <v>45698.0</v>
      </c>
      <c r="L46" s="26">
        <v>0.0</v>
      </c>
      <c r="M46" s="27" t="str">
        <f>VLOOKUP(B46,Master_Mapper!$A$2:$C$628,3,0)</f>
        <v>Harbright Ventures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>
      <c r="A47" s="13" t="b">
        <v>0</v>
      </c>
      <c r="B47" s="14" t="s">
        <v>128</v>
      </c>
      <c r="C47" s="15" t="s">
        <v>46</v>
      </c>
      <c r="D47" s="13" t="str">
        <f>vlookup(B47,Vert_Mapper!$A$2:$C$567,3,0)</f>
        <v>Biotechnology &amp; Pharmaceuticals</v>
      </c>
      <c r="E47" s="13" t="s">
        <v>85</v>
      </c>
      <c r="F47" s="13" t="s">
        <v>86</v>
      </c>
      <c r="G47" s="13" t="str">
        <f t="shared" si="1"/>
        <v>DECLINING</v>
      </c>
      <c r="H47" s="13" t="s">
        <v>129</v>
      </c>
      <c r="I47" s="16">
        <f>IFERROR(__xludf.DUMMYFUNCTION("ROUND(
  MAX(
    MIN(
      (
        (VALUE(INDEX(SPLIT(K47,""-""),1)) + VALUE(INDEX(SPLIT(K47,""-""),2))) / 2
      ) *
      IFS(
        L47&gt;0.4, 1.6,
        L47&gt;0.1, 1.3,
        L47&gt;=-0.05, 1,
        L47&gt;=-0.2, 0.85,
        TRUE, 0.7
      ),
  "&amp;"    VALUE(INDEX(SPLIT(K47,""-""),2))
    ),
    VALUE(INDEX(SPLIT(K47,""-""),1))
  )
)"),26.0)</f>
        <v>26</v>
      </c>
      <c r="J47" s="17">
        <f>I47*(VLOOKUP(C47,'Rev_Mapping Table'!$A$1:$C$12,3,0))</f>
        <v>14456000</v>
      </c>
      <c r="K47" s="16" t="s">
        <v>25</v>
      </c>
      <c r="L47" s="18">
        <v>-0.16</v>
      </c>
      <c r="M47" s="19" t="str">
        <f>VLOOKUP(B47,Master_Mapper!$A$2:$C$628,3,0)</f>
        <v>Eshelman Ventures, LLC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</row>
    <row r="48">
      <c r="A48" s="21" t="b">
        <v>0</v>
      </c>
      <c r="B48" s="31" t="s">
        <v>130</v>
      </c>
      <c r="C48" s="23" t="s">
        <v>46</v>
      </c>
      <c r="D48" s="21" t="str">
        <f>vlookup(B48,Vert_Mapper!$A$2:$C$567,3,0)</f>
        <v>Biotechnology &amp; Pharmaceuticals</v>
      </c>
      <c r="E48" s="21" t="s">
        <v>85</v>
      </c>
      <c r="F48" s="21" t="s">
        <v>86</v>
      </c>
      <c r="G48" s="21" t="str">
        <f t="shared" si="1"/>
        <v>HYPERGROWTH</v>
      </c>
      <c r="H48" s="21" t="s">
        <v>131</v>
      </c>
      <c r="I48" s="24" t="str">
        <f>IFERROR(__xludf.DUMMYFUNCTION("ROUND(
  MAX(
    MIN(
      (
        (VALUE(INDEX(SPLIT(K48,""-""),1)) + VALUE(INDEX(SPLIT(K48,""-""),2))) / 2
      ) *
      IFS(
        L48&gt;0.4, 1.6,
        L48&gt;0.1, 1.3,
        L48&gt;=-0.05, 1,
        L48&gt;=-0.2, 0.85,
        TRUE, 0.7
      ),
  "&amp;"    VALUE(INDEX(SPLIT(K48,""-""),2))
    ),
    VALUE(INDEX(SPLIT(K48,""-""),1))
  )
)"),"#VALUE!")</f>
        <v>#VALUE!</v>
      </c>
      <c r="J48" s="25" t="str">
        <f>I48*(VLOOKUP(C48,'Rev_Mapping Table'!$A$1:$C$12,3,0))</f>
        <v>#VALUE!</v>
      </c>
      <c r="K48" s="35" t="s">
        <v>131</v>
      </c>
      <c r="L48" s="35" t="s">
        <v>131</v>
      </c>
      <c r="M48" s="27" t="str">
        <f>VLOOKUP(B48,Master_Mapper!$A$2:$C$628,3,0)</f>
        <v>NovaQuest Capital Mgmt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>
      <c r="A49" s="13" t="b">
        <v>0</v>
      </c>
      <c r="B49" s="14" t="s">
        <v>132</v>
      </c>
      <c r="C49" s="15" t="s">
        <v>38</v>
      </c>
      <c r="D49" s="13" t="str">
        <f>vlookup(B49,Vert_Mapper!$A$2:$C$567,3,0)</f>
        <v>Financial Technology &amp; Investment Services</v>
      </c>
      <c r="E49" s="13" t="s">
        <v>26</v>
      </c>
      <c r="F49" s="13" t="s">
        <v>18</v>
      </c>
      <c r="G49" s="13" t="str">
        <f t="shared" si="1"/>
        <v>DECLINING</v>
      </c>
      <c r="H49" s="13" t="s">
        <v>83</v>
      </c>
      <c r="I49" s="16">
        <f>IFERROR(__xludf.DUMMYFUNCTION("ROUND(
  MAX(
    MIN(
      (
        (VALUE(INDEX(SPLIT(K49,""-""),1)) + VALUE(INDEX(SPLIT(K49,""-""),2))) / 2
      ) *
      IFS(
        L49&gt;0.4, 1.6,
        L49&gt;0.1, 1.3,
        L49&gt;=-0.05, 1,
        L49&gt;=-0.2, 0.85,
        TRUE, 0.7
      ),
  "&amp;"    VALUE(INDEX(SPLIT(K49,""-""),2))
    ),
    VALUE(INDEX(SPLIT(K49,""-""),1))
  )
)"),126.0)</f>
        <v>126</v>
      </c>
      <c r="J49" s="17">
        <f>I49*(VLOOKUP(C49,'Rev_Mapping Table'!$A$1:$C$12,3,0))</f>
        <v>114030000</v>
      </c>
      <c r="K49" s="16" t="s">
        <v>32</v>
      </c>
      <c r="L49" s="18">
        <v>-0.02</v>
      </c>
      <c r="M49" s="19" t="str">
        <f>VLOOKUP(B49,Master_Mapper!$A$2:$C$628,3,0)</f>
        <v>Vibora Capital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</row>
    <row r="50">
      <c r="A50" s="21" t="b">
        <v>1</v>
      </c>
      <c r="B50" s="31" t="s">
        <v>133</v>
      </c>
      <c r="C50" s="23" t="s">
        <v>22</v>
      </c>
      <c r="D50" s="21" t="str">
        <f>vlookup(B50,Vert_Mapper!$A$2:$C$567,3,0)</f>
        <v>Software &amp; SaaS</v>
      </c>
      <c r="E50" s="21" t="s">
        <v>26</v>
      </c>
      <c r="F50" s="21" t="s">
        <v>18</v>
      </c>
      <c r="G50" s="21" t="str">
        <f t="shared" si="1"/>
        <v>HYPERGROWTH</v>
      </c>
      <c r="H50" s="21" t="s">
        <v>134</v>
      </c>
      <c r="I50" s="24">
        <f>IFERROR(__xludf.DUMMYFUNCTION("ROUND(
  MAX(
    MIN(
      (
        (VALUE(INDEX(SPLIT(K50,""-""),1)) + VALUE(INDEX(SPLIT(K50,""-""),2))) / 2
      ) *
      IFS(
        L50&gt;0.4, 1.6,
        L50&gt;0.1, 1.3,
        L50&gt;=-0.05, 1,
        L50&gt;=-0.2, 0.85,
        TRUE, 0.7
      ),
  "&amp;"    VALUE(INDEX(SPLIT(K50,""-""),2))
    ),
    VALUE(INDEX(SPLIT(K50,""-""),1))
  )
)"),200.0)</f>
        <v>200</v>
      </c>
      <c r="J50" s="25">
        <f>I50*(VLOOKUP(C50,'Rev_Mapping Table'!$A$1:$C$12,3,0))</f>
        <v>112800000</v>
      </c>
      <c r="K50" s="24" t="s">
        <v>32</v>
      </c>
      <c r="L50" s="26">
        <v>2.5</v>
      </c>
      <c r="M50" s="27" t="str">
        <f>VLOOKUP(B50,Master_Mapper!$A$2:$C$628,3,0)</f>
        <v>Falfurrias Capital Partners</v>
      </c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>
      <c r="A51" s="13" t="b">
        <v>0</v>
      </c>
      <c r="B51" s="14" t="s">
        <v>135</v>
      </c>
      <c r="C51" s="15" t="s">
        <v>22</v>
      </c>
      <c r="D51" s="13" t="str">
        <f>vlookup(B51,Vert_Mapper!$A$2:$C$567,3,0)</f>
        <v>Software &amp; SaaS</v>
      </c>
      <c r="E51" s="13" t="s">
        <v>26</v>
      </c>
      <c r="F51" s="13" t="s">
        <v>18</v>
      </c>
      <c r="G51" s="13" t="str">
        <f t="shared" si="1"/>
        <v>ACCELERATED GROWTH</v>
      </c>
      <c r="H51" s="13" t="s">
        <v>136</v>
      </c>
      <c r="I51" s="16">
        <f>IFERROR(__xludf.DUMMYFUNCTION("ROUND(
  MAX(
    MIN(
      (
        (VALUE(INDEX(SPLIT(K51,""-""),1)) + VALUE(INDEX(SPLIT(K51,""-""),2))) / 2
      ) *
      IFS(
        L51&gt;0.4, 1.6,
        L51&gt;0.1, 1.3,
        L51&gt;=-0.05, 1,
        L51&gt;=-0.2, 0.85,
        TRUE, 0.7
      ),
  "&amp;"    VALUE(INDEX(SPLIT(K51,""-""),2))
    ),
    VALUE(INDEX(SPLIT(K51,""-""),1))
  )
)"),163.0)</f>
        <v>163</v>
      </c>
      <c r="J51" s="17">
        <f>I51*(VLOOKUP(C51,'Rev_Mapping Table'!$A$1:$C$12,3,0))</f>
        <v>91932000</v>
      </c>
      <c r="K51" s="16" t="s">
        <v>32</v>
      </c>
      <c r="L51" s="18">
        <v>0.35</v>
      </c>
      <c r="M51" s="19" t="str">
        <f>VLOOKUP(B51,Master_Mapper!$A$2:$C$628,3,0)</f>
        <v>Cerity Partners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>
      <c r="A52" s="21" t="b">
        <v>0</v>
      </c>
      <c r="B52" s="31" t="s">
        <v>137</v>
      </c>
      <c r="C52" s="23" t="s">
        <v>16</v>
      </c>
      <c r="D52" s="21" t="str">
        <f>vlookup(B52,Vert_Mapper!$A$2:$C$567,3,0)</f>
        <v>Aerospace and Defense</v>
      </c>
      <c r="E52" s="21" t="s">
        <v>138</v>
      </c>
      <c r="F52" s="21" t="s">
        <v>18</v>
      </c>
      <c r="G52" s="21" t="str">
        <f t="shared" si="1"/>
        <v>ACCELERATED GROWTH</v>
      </c>
      <c r="H52" s="21" t="s">
        <v>139</v>
      </c>
      <c r="I52" s="24">
        <f>IFERROR(__xludf.DUMMYFUNCTION("ROUND(
  MAX(
    MIN(
      (
        (VALUE(INDEX(SPLIT(K52,""-""),1)) + VALUE(INDEX(SPLIT(K52,""-""),2))) / 2
      ) *
      IFS(
        L52&gt;0.4, 1.6,
        L52&gt;0.1, 1.3,
        L52&gt;=-0.05, 1,
        L52&gt;=-0.2, 0.85,
        TRUE, 0.7
      ),
  "&amp;"    VALUE(INDEX(SPLIT(K52,""-""),2))
    ),
    VALUE(INDEX(SPLIT(K52,""-""),1))
  )
)"),40.0)</f>
        <v>40</v>
      </c>
      <c r="J52" s="25">
        <f>I52*(VLOOKUP(C52,'Rev_Mapping Table'!$A$1:$C$12,3,0))</f>
        <v>19720000</v>
      </c>
      <c r="K52" s="24" t="s">
        <v>25</v>
      </c>
      <c r="L52" s="26">
        <v>0.4</v>
      </c>
      <c r="M52" s="27" t="str">
        <f>VLOOKUP(B52,Master_Mapper!$A$2:$C$628,3,0)</f>
        <v>Vibora Capital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>
      <c r="A53" s="13" t="b">
        <v>0</v>
      </c>
      <c r="B53" s="14" t="s">
        <v>140</v>
      </c>
      <c r="C53" s="15" t="s">
        <v>22</v>
      </c>
      <c r="D53" s="13" t="str">
        <f>vlookup(B53,Vert_Mapper!$A$2:$C$567,3,0)</f>
        <v>Software &amp; SaaS</v>
      </c>
      <c r="E53" s="13" t="s">
        <v>26</v>
      </c>
      <c r="F53" s="13" t="s">
        <v>18</v>
      </c>
      <c r="G53" s="13" t="str">
        <f t="shared" si="1"/>
        <v>FLAT TO NEUTRAL</v>
      </c>
      <c r="H53" s="13" t="s">
        <v>141</v>
      </c>
      <c r="I53" s="16">
        <f>IFERROR(__xludf.DUMMYFUNCTION("ROUND(
  MAX(
    MIN(
      (
        (VALUE(INDEX(SPLIT(K53,""-""),1)) + VALUE(INDEX(SPLIT(K53,""-""),2))) / 2
      ) *
      IFS(
        L53&gt;0.4, 1.6,
        L53&gt;0.1, 1.3,
        L53&gt;=-0.05, 1,
        L53&gt;=-0.2, 0.85,
        TRUE, 0.7
      ),
  "&amp;"    VALUE(INDEX(SPLIT(K53,""-""),2))
    ),
    VALUE(INDEX(SPLIT(K53,""-""),1))
  )
)"),126.0)</f>
        <v>126</v>
      </c>
      <c r="J53" s="17">
        <f>I53*(VLOOKUP(C53,'Rev_Mapping Table'!$A$1:$C$12,3,0))</f>
        <v>71064000</v>
      </c>
      <c r="K53" s="16" t="s">
        <v>32</v>
      </c>
      <c r="L53" s="18">
        <v>0.01</v>
      </c>
      <c r="M53" s="19" t="str">
        <f>VLOOKUP(B53,Master_Mapper!$A$2:$C$628,3,0)</f>
        <v>Cerity Partners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>
      <c r="A54" s="21" t="b">
        <v>0</v>
      </c>
      <c r="B54" s="31" t="s">
        <v>142</v>
      </c>
      <c r="C54" s="23" t="s">
        <v>72</v>
      </c>
      <c r="D54" s="21" t="str">
        <f>vlookup(B54,Vert_Mapper!$A$2:$C$567,3,0)</f>
        <v>Media &amp; Entertainment Technology</v>
      </c>
      <c r="E54" s="21" t="s">
        <v>26</v>
      </c>
      <c r="F54" s="21" t="s">
        <v>18</v>
      </c>
      <c r="G54" s="21" t="str">
        <f t="shared" si="1"/>
        <v>FLAT TO NEUTRAL</v>
      </c>
      <c r="H54" s="21" t="s">
        <v>143</v>
      </c>
      <c r="I54" s="24">
        <f>IFERROR(__xludf.DUMMYFUNCTION("ROUND(
  MAX(
    MIN(
      (
        (VALUE(INDEX(SPLIT(K54,""-""),1)) + VALUE(INDEX(SPLIT(K54,""-""),2))) / 2
      ) *
      IFS(
        L54&gt;0.4, 1.6,
        L54&gt;0.1, 1.3,
        L54&gt;=-0.05, 1,
        L54&gt;=-0.2, 0.85,
        TRUE, 0.7
      ),
  "&amp;"    VALUE(INDEX(SPLIT(K54,""-""),2))
    ),
    VALUE(INDEX(SPLIT(K54,""-""),1))
  )
)"),126.0)</f>
        <v>126</v>
      </c>
      <c r="J54" s="25">
        <f>I54*(VLOOKUP(C54,'Rev_Mapping Table'!$A$1:$C$12,3,0))</f>
        <v>71064000</v>
      </c>
      <c r="K54" s="24" t="s">
        <v>32</v>
      </c>
      <c r="L54" s="26">
        <v>0.0</v>
      </c>
      <c r="M54" s="27" t="str">
        <f>VLOOKUP(B54,Master_Mapper!$A$2:$C$628,3,0)</f>
        <v>Cerity Partners</v>
      </c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>
      <c r="A55" s="13" t="b">
        <v>0</v>
      </c>
      <c r="B55" s="14" t="s">
        <v>144</v>
      </c>
      <c r="C55" s="15" t="s">
        <v>46</v>
      </c>
      <c r="D55" s="13" t="str">
        <f>vlookup(B55,Vert_Mapper!$A$2:$C$567,3,0)</f>
        <v>Biotechnology &amp; Pharmaceuticals</v>
      </c>
      <c r="E55" s="13" t="s">
        <v>26</v>
      </c>
      <c r="F55" s="13" t="s">
        <v>18</v>
      </c>
      <c r="G55" s="13" t="str">
        <f t="shared" si="1"/>
        <v>SEVERELY NEGATIVE</v>
      </c>
      <c r="H55" s="13" t="s">
        <v>24</v>
      </c>
      <c r="I55" s="16">
        <f>IFERROR(__xludf.DUMMYFUNCTION("ROUND(
  MAX(
    MIN(
      (
        (VALUE(INDEX(SPLIT(K55,""-""),1)) + VALUE(INDEX(SPLIT(K55,""-""),2))) / 2
      ) *
      IFS(
        L55&gt;0.4, 1.6,
        L55&gt;0.1, 1.3,
        L55&gt;=-0.05, 1,
        L55&gt;=-0.2, 0.85,
        TRUE, 0.7
      ),
  "&amp;"    VALUE(INDEX(SPLIT(K55,""-""),2))
    ),
    VALUE(INDEX(SPLIT(K55,""-""),1))
  )
)"),21.0)</f>
        <v>21</v>
      </c>
      <c r="J55" s="17">
        <f>I55*(VLOOKUP(C55,'Rev_Mapping Table'!$A$1:$C$12,3,0))</f>
        <v>11676000</v>
      </c>
      <c r="K55" s="16" t="s">
        <v>25</v>
      </c>
      <c r="L55" s="18">
        <v>-0.39</v>
      </c>
      <c r="M55" s="19" t="str">
        <f>VLOOKUP(B55,Master_Mapper!$A$2:$C$628,3,0)</f>
        <v>Cerity Partners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</row>
    <row r="56">
      <c r="A56" s="21" t="b">
        <v>0</v>
      </c>
      <c r="B56" s="31" t="s">
        <v>145</v>
      </c>
      <c r="C56" s="23" t="s">
        <v>46</v>
      </c>
      <c r="D56" s="21" t="str">
        <f>vlookup(B56,Vert_Mapper!$A$2:$C$567,3,0)</f>
        <v>Healthcare Technology &amp; Analytics</v>
      </c>
      <c r="E56" s="21" t="s">
        <v>26</v>
      </c>
      <c r="F56" s="21" t="s">
        <v>18</v>
      </c>
      <c r="G56" s="21" t="str">
        <f t="shared" si="1"/>
        <v>ACCELERATED GROWTH</v>
      </c>
      <c r="H56" s="21" t="s">
        <v>146</v>
      </c>
      <c r="I56" s="24">
        <f>IFERROR(__xludf.DUMMYFUNCTION("ROUND(
  MAX(
    MIN(
      (
        (VALUE(INDEX(SPLIT(K56,""-""),1)) + VALUE(INDEX(SPLIT(K56,""-""),2))) / 2
      ) *
      IFS(
        L56&gt;0.4, 1.6,
        L56&gt;0.1, 1.3,
        L56&gt;=-0.05, 1,
        L56&gt;=-0.2, 0.85,
        TRUE, 0.7
      ),
  "&amp;"    VALUE(INDEX(SPLIT(K56,""-""),2))
    ),
    VALUE(INDEX(SPLIT(K56,""-""),1))
  )
)"),49.0)</f>
        <v>49</v>
      </c>
      <c r="J56" s="25">
        <f>I56*(VLOOKUP(C56,'Rev_Mapping Table'!$A$1:$C$12,3,0))</f>
        <v>27244000</v>
      </c>
      <c r="K56" s="24" t="s">
        <v>25</v>
      </c>
      <c r="L56" s="26">
        <v>0.45</v>
      </c>
      <c r="M56" s="27" t="str">
        <f>VLOOKUP(B56,Master_Mapper!$A$2:$C$628,3,0)</f>
        <v>Cerity Partners</v>
      </c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>
      <c r="A57" s="13" t="b">
        <v>0</v>
      </c>
      <c r="B57" s="14" t="s">
        <v>147</v>
      </c>
      <c r="C57" s="15" t="s">
        <v>46</v>
      </c>
      <c r="D57" s="13" t="str">
        <f>vlookup(B57,Vert_Mapper!$A$2:$C$567,3,0)</f>
        <v>Biotechnology &amp; Pharmaceuticals</v>
      </c>
      <c r="E57" s="13" t="s">
        <v>85</v>
      </c>
      <c r="F57" s="13" t="s">
        <v>86</v>
      </c>
      <c r="G57" s="13" t="str">
        <f t="shared" si="1"/>
        <v>FLAT TO NEUTRAL</v>
      </c>
      <c r="H57" s="13" t="s">
        <v>57</v>
      </c>
      <c r="I57" s="16">
        <f>IFERROR(__xludf.DUMMYFUNCTION("ROUND(
  MAX(
    MIN(
      (
        (VALUE(INDEX(SPLIT(K57,""-""),1)) + VALUE(INDEX(SPLIT(K57,""-""),2))) / 2
      ) *
      IFS(
        L57&gt;0.4, 1.6,
        L57&gt;0.1, 1.3,
        L57&gt;=-0.05, 1,
        L57&gt;=-0.2, 0.85,
        TRUE, 0.7
      ),
  "&amp;"    VALUE(INDEX(SPLIT(K57,""-""),2))
    ),
    VALUE(INDEX(SPLIT(K57,""-""),1))
  )
)"),6.0)</f>
        <v>6</v>
      </c>
      <c r="J57" s="17">
        <f>I57*(VLOOKUP(C57,'Rev_Mapping Table'!$A$1:$C$12,3,0))</f>
        <v>3336000</v>
      </c>
      <c r="K57" s="30">
        <v>45698.0</v>
      </c>
      <c r="L57" s="18">
        <v>0.0</v>
      </c>
      <c r="M57" s="19" t="str">
        <f>VLOOKUP(B57,Master_Mapper!$A$2:$C$628,3,0)</f>
        <v>VentureSouth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>
      <c r="A58" s="21" t="b">
        <v>0</v>
      </c>
      <c r="B58" s="31" t="s">
        <v>148</v>
      </c>
      <c r="C58" s="23" t="s">
        <v>56</v>
      </c>
      <c r="D58" s="21" t="str">
        <f>vlookup(B58,Vert_Mapper!$A$2:$C$567,3,0)</f>
        <v>Automotive Services</v>
      </c>
      <c r="E58" s="21" t="s">
        <v>26</v>
      </c>
      <c r="F58" s="21" t="s">
        <v>18</v>
      </c>
      <c r="G58" s="21" t="str">
        <f t="shared" si="1"/>
        <v>GROWTH PHASE</v>
      </c>
      <c r="H58" s="21" t="s">
        <v>149</v>
      </c>
      <c r="I58" s="24">
        <f>IFERROR(__xludf.DUMMYFUNCTION("ROUND(
  MAX(
    MIN(
      (
        (VALUE(INDEX(SPLIT(K58,""-""),1)) + VALUE(INDEX(SPLIT(K58,""-""),2))) / 2
      ) *
      IFS(
        L58&gt;0.4, 1.6,
        L58&gt;0.1, 1.3,
        L58&gt;=-0.05, 1,
        L58&gt;=-0.2, 0.85,
        TRUE, 0.7
      ),
  "&amp;"    VALUE(INDEX(SPLIT(K58,""-""),2))
    ),
    VALUE(INDEX(SPLIT(K58,""-""),1))
  )
)"),31.0)</f>
        <v>31</v>
      </c>
      <c r="J58" s="25">
        <f>I58*(VLOOKUP(C58,'Rev_Mapping Table'!$A$1:$C$12,3,0))</f>
        <v>15872000</v>
      </c>
      <c r="K58" s="24" t="s">
        <v>25</v>
      </c>
      <c r="L58" s="26">
        <v>0.08</v>
      </c>
      <c r="M58" s="27" t="str">
        <f>VLOOKUP(B58,Master_Mapper!$A$2:$C$628,3,0)</f>
        <v>Envest Capital Partners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  <row r="59">
      <c r="A59" s="13" t="b">
        <v>0</v>
      </c>
      <c r="B59" s="14" t="s">
        <v>150</v>
      </c>
      <c r="C59" s="15" t="s">
        <v>22</v>
      </c>
      <c r="D59" s="13" t="str">
        <f>vlookup(B59,Vert_Mapper!$A$2:$C$567,3,0)</f>
        <v>Human Resources Technology</v>
      </c>
      <c r="E59" s="13" t="s">
        <v>26</v>
      </c>
      <c r="F59" s="13" t="s">
        <v>18</v>
      </c>
      <c r="G59" s="13" t="str">
        <f t="shared" si="1"/>
        <v>DECLINING</v>
      </c>
      <c r="H59" s="13" t="s">
        <v>151</v>
      </c>
      <c r="I59" s="16">
        <f>IFERROR(__xludf.DUMMYFUNCTION("ROUND(
  MAX(
    MIN(
      (
        (VALUE(INDEX(SPLIT(K59,""-""),1)) + VALUE(INDEX(SPLIT(K59,""-""),2))) / 2
      ) *
      IFS(
        L59&gt;0.4, 1.6,
        L59&gt;0.1, 1.3,
        L59&gt;=-0.05, 1,
        L59&gt;=-0.2, 0.85,
        TRUE, 0.7
      ),
  "&amp;"    VALUE(INDEX(SPLIT(K59,""-""),2))
    ),
    VALUE(INDEX(SPLIT(K59,""-""),1))
  )
)"),107.0)</f>
        <v>107</v>
      </c>
      <c r="J59" s="17">
        <f>I59*(VLOOKUP(C59,'Rev_Mapping Table'!$A$1:$C$12,3,0))</f>
        <v>60348000</v>
      </c>
      <c r="K59" s="16" t="s">
        <v>32</v>
      </c>
      <c r="L59" s="18">
        <v>-0.14</v>
      </c>
      <c r="M59" s="19" t="str">
        <f>VLOOKUP(B59,Master_Mapper!$A$2:$C$628,3,0)</f>
        <v>QHP Capital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>
      <c r="A60" s="21" t="b">
        <v>0</v>
      </c>
      <c r="B60" s="31" t="s">
        <v>152</v>
      </c>
      <c r="C60" s="23" t="s">
        <v>46</v>
      </c>
      <c r="D60" s="21" t="str">
        <f>vlookup(B60,Vert_Mapper!$A$2:$C$567,3,0)</f>
        <v>Biotechnology &amp; Pharmaceuticals</v>
      </c>
      <c r="E60" s="21" t="s">
        <v>85</v>
      </c>
      <c r="F60" s="21" t="s">
        <v>86</v>
      </c>
      <c r="G60" s="21" t="str">
        <f t="shared" si="1"/>
        <v>GROWTH PHASE</v>
      </c>
      <c r="H60" s="21" t="s">
        <v>153</v>
      </c>
      <c r="I60" s="24">
        <f>IFERROR(__xludf.DUMMYFUNCTION("ROUND(
  MAX(
    MIN(
      (
        (VALUE(INDEX(SPLIT(K60,""-""),1)) + VALUE(INDEX(SPLIT(K60,""-""),2))) / 2
      ) *
      IFS(
        L60&gt;0.4, 1.6,
        L60&gt;0.1, 1.3,
        L60&gt;=-0.05, 1,
        L60&gt;=-0.2, 0.85,
        TRUE, 0.7
      ),
  "&amp;"    VALUE(INDEX(SPLIT(K60,""-""),2))
    ),
    VALUE(INDEX(SPLIT(K60,""-""),1))
  )
)"),163.0)</f>
        <v>163</v>
      </c>
      <c r="J60" s="25">
        <f>I60*(VLOOKUP(C60,'Rev_Mapping Table'!$A$1:$C$12,3,0))</f>
        <v>90628000</v>
      </c>
      <c r="K60" s="24" t="s">
        <v>32</v>
      </c>
      <c r="L60" s="26">
        <v>0.14</v>
      </c>
      <c r="M60" s="27" t="str">
        <f>VLOOKUP(B60,Master_Mapper!$A$2:$C$628,3,0)</f>
        <v>Eshelman Ventures, LLC</v>
      </c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>
      <c r="A61" s="13" t="b">
        <v>0</v>
      </c>
      <c r="B61" s="14" t="s">
        <v>154</v>
      </c>
      <c r="C61" s="15" t="s">
        <v>38</v>
      </c>
      <c r="D61" s="13" t="str">
        <f>vlookup(B61,Vert_Mapper!$A$2:$C$567,3,0)</f>
        <v>Financial Technology &amp; Investment Services</v>
      </c>
      <c r="E61" s="13" t="s">
        <v>26</v>
      </c>
      <c r="F61" s="13" t="s">
        <v>18</v>
      </c>
      <c r="G61" s="13" t="str">
        <f t="shared" si="1"/>
        <v>GROWTH PHASE</v>
      </c>
      <c r="H61" s="13" t="s">
        <v>155</v>
      </c>
      <c r="I61" s="16">
        <f>IFERROR(__xludf.DUMMYFUNCTION("ROUND(
  MAX(
    MIN(
      (
        (VALUE(INDEX(SPLIT(K61,""-""),1)) + VALUE(INDEX(SPLIT(K61,""-""),2))) / 2
      ) *
      IFS(
        L61&gt;0.4, 1.6,
        L61&gt;0.1, 1.3,
        L61&gt;=-0.05, 1,
        L61&gt;=-0.2, 0.85,
        TRUE, 0.7
      ),
  "&amp;"    VALUE(INDEX(SPLIT(K61,""-""),2))
    ),
    VALUE(INDEX(SPLIT(K61,""-""),1))
  )
)"),126.0)</f>
        <v>126</v>
      </c>
      <c r="J61" s="17">
        <f>I61*(VLOOKUP(C61,'Rev_Mapping Table'!$A$1:$C$12,3,0))</f>
        <v>114030000</v>
      </c>
      <c r="K61" s="16" t="s">
        <v>32</v>
      </c>
      <c r="L61" s="18">
        <v>0.08</v>
      </c>
      <c r="M61" s="19" t="str">
        <f>VLOOKUP(B61,Master_Mapper!$A$2:$C$628,3,0)</f>
        <v>Pamlico Capital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>
      <c r="A62" s="21" t="b">
        <v>0</v>
      </c>
      <c r="B62" s="31" t="s">
        <v>156</v>
      </c>
      <c r="C62" s="23" t="s">
        <v>22</v>
      </c>
      <c r="D62" s="21" t="str">
        <f>vlookup(B62,Vert_Mapper!$A$2:$C$567,3,0)</f>
        <v>Cloud &amp; Infrastructure</v>
      </c>
      <c r="E62" s="21" t="s">
        <v>26</v>
      </c>
      <c r="F62" s="21" t="s">
        <v>18</v>
      </c>
      <c r="G62" s="21" t="str">
        <f t="shared" si="1"/>
        <v>DECLINING</v>
      </c>
      <c r="H62" s="21" t="s">
        <v>157</v>
      </c>
      <c r="I62" s="24">
        <f>IFERROR(__xludf.DUMMYFUNCTION("ROUND(
  MAX(
    MIN(
      (
        (VALUE(INDEX(SPLIT(K62,""-""),1)) + VALUE(INDEX(SPLIT(K62,""-""),2))) / 2
      ) *
      IFS(
        L62&gt;0.4, 1.6,
        L62&gt;0.1, 1.3,
        L62&gt;=-0.05, 1,
        L62&gt;=-0.2, 0.85,
        TRUE, 0.7
      ),
  "&amp;"    VALUE(INDEX(SPLIT(K62,""-""),2))
    ),
    VALUE(INDEX(SPLIT(K62,""-""),1))
  )
)"),126.0)</f>
        <v>126</v>
      </c>
      <c r="J62" s="25">
        <f>I62*(VLOOKUP(C62,'Rev_Mapping Table'!$A$1:$C$12,3,0))</f>
        <v>71064000</v>
      </c>
      <c r="K62" s="24" t="s">
        <v>32</v>
      </c>
      <c r="L62" s="26">
        <v>-0.03</v>
      </c>
      <c r="M62" s="27" t="str">
        <f>VLOOKUP(B62,Master_Mapper!$A$2:$C$628,3,0)</f>
        <v>Vibora Capital</v>
      </c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>
      <c r="A63" s="13" t="b">
        <v>0</v>
      </c>
      <c r="B63" s="14" t="s">
        <v>158</v>
      </c>
      <c r="C63" s="15" t="s">
        <v>16</v>
      </c>
      <c r="D63" s="13" t="str">
        <f>vlookup(B63,Vert_Mapper!$A$2:$C$567,3,0)</f>
        <v>Engineering &amp; Construction Services</v>
      </c>
      <c r="E63" s="13" t="s">
        <v>26</v>
      </c>
      <c r="F63" s="13" t="s">
        <v>18</v>
      </c>
      <c r="G63" s="13" t="str">
        <f t="shared" si="1"/>
        <v>SEVERELY NEGATIVE</v>
      </c>
      <c r="H63" s="13" t="s">
        <v>159</v>
      </c>
      <c r="I63" s="16">
        <f>IFERROR(__xludf.DUMMYFUNCTION("ROUND(
  MAX(
    MIN(
      (
        (VALUE(INDEX(SPLIT(K63,""-""),1)) + VALUE(INDEX(SPLIT(K63,""-""),2))) / 2
      ) *
      IFS(
        L63&gt;0.4, 1.6,
        L63&gt;0.1, 1.3,
        L63&gt;=-0.05, 1,
        L63&gt;=-0.2, 0.85,
        TRUE, 0.7
      ),
  "&amp;"    VALUE(INDEX(SPLIT(K63,""-""),2))
    ),
    VALUE(INDEX(SPLIT(K63,""-""),1))
  )
)"),2100.0)</f>
        <v>2100</v>
      </c>
      <c r="J63" s="17">
        <f>I63*(VLOOKUP(C63,'Rev_Mapping Table'!$A$1:$C$12,3,0))</f>
        <v>1035300000</v>
      </c>
      <c r="K63" s="16" t="s">
        <v>96</v>
      </c>
      <c r="L63" s="18">
        <v>-0.22</v>
      </c>
      <c r="M63" s="19" t="str">
        <f>VLOOKUP(B63,Master_Mapper!$A$2:$C$628,3,0)</f>
        <v/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>
      <c r="A64" s="21" t="b">
        <v>0</v>
      </c>
      <c r="B64" s="31" t="s">
        <v>160</v>
      </c>
      <c r="C64" s="23" t="s">
        <v>46</v>
      </c>
      <c r="D64" s="21" t="str">
        <f>vlookup(B64,Vert_Mapper!$A$2:$C$567,3,0)</f>
        <v>Biotechnology &amp; Pharmaceuticals</v>
      </c>
      <c r="E64" s="21" t="s">
        <v>26</v>
      </c>
      <c r="F64" s="21" t="s">
        <v>18</v>
      </c>
      <c r="G64" s="21" t="str">
        <f t="shared" si="1"/>
        <v>ACCELERATED GROWTH</v>
      </c>
      <c r="H64" s="21" t="s">
        <v>161</v>
      </c>
      <c r="I64" s="24">
        <f>IFERROR(__xludf.DUMMYFUNCTION("ROUND(
  MAX(
    MIN(
      (
        (VALUE(INDEX(SPLIT(K64,""-""),1)) + VALUE(INDEX(SPLIT(K64,""-""),2))) / 2
      ) *
      IFS(
        L64&gt;0.4, 1.6,
        L64&gt;0.1, 1.3,
        L64&gt;=-0.05, 1,
        L64&gt;=-0.2, 0.85,
        TRUE, 0.7
      ),
  "&amp;"    VALUE(INDEX(SPLIT(K64,""-""),2))
    ),
    VALUE(INDEX(SPLIT(K64,""-""),1))
  )
)"),976.0)</f>
        <v>976</v>
      </c>
      <c r="J64" s="25">
        <f>I64*(VLOOKUP(C64,'Rev_Mapping Table'!$A$1:$C$12,3,0))</f>
        <v>542656000</v>
      </c>
      <c r="K64" s="24" t="s">
        <v>54</v>
      </c>
      <c r="L64" s="26">
        <v>0.28</v>
      </c>
      <c r="M64" s="27" t="str">
        <f>VLOOKUP(B64,Master_Mapper!$A$2:$C$628,3,0)</f>
        <v>QHP Capital</v>
      </c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>
      <c r="A65" s="13" t="b">
        <v>0</v>
      </c>
      <c r="B65" s="14" t="s">
        <v>162</v>
      </c>
      <c r="C65" s="15" t="s">
        <v>46</v>
      </c>
      <c r="D65" s="13" t="str">
        <f>vlookup(B65,Vert_Mapper!$A$2:$C$567,3,0)</f>
        <v>Medical Devices &amp; Technology</v>
      </c>
      <c r="E65" s="13" t="s">
        <v>85</v>
      </c>
      <c r="F65" s="13" t="s">
        <v>86</v>
      </c>
      <c r="G65" s="13" t="str">
        <f t="shared" si="1"/>
        <v>GROWTH PHASE</v>
      </c>
      <c r="H65" s="13" t="s">
        <v>24</v>
      </c>
      <c r="I65" s="16">
        <f>IFERROR(__xludf.DUMMYFUNCTION("ROUND(
  MAX(
    MIN(
      (
        (VALUE(INDEX(SPLIT(K65,""-""),1)) + VALUE(INDEX(SPLIT(K65,""-""),2))) / 2
      ) *
      IFS(
        L65&gt;0.4, 1.6,
        L65&gt;0.1, 1.3,
        L65&gt;=-0.05, 1,
        L65&gt;=-0.2, 0.85,
        TRUE, 0.7
      ),
  "&amp;"    VALUE(INDEX(SPLIT(K65,""-""),2))
    ),
    VALUE(INDEX(SPLIT(K65,""-""),1))
  )
)"),6.0)</f>
        <v>6</v>
      </c>
      <c r="J65" s="17">
        <f>I65*(VLOOKUP(C65,'Rev_Mapping Table'!$A$1:$C$12,3,0))</f>
        <v>3336000</v>
      </c>
      <c r="K65" s="30">
        <v>45698.0</v>
      </c>
      <c r="L65" s="18">
        <v>0.1</v>
      </c>
      <c r="M65" s="19" t="str">
        <f>VLOOKUP(B65,Master_Mapper!$A$2:$C$628,3,0)</f>
        <v>Vibora Capital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>
      <c r="A66" s="21" t="b">
        <v>0</v>
      </c>
      <c r="B66" s="31" t="s">
        <v>163</v>
      </c>
      <c r="C66" s="23" t="s">
        <v>56</v>
      </c>
      <c r="D66" s="21" t="str">
        <f>vlookup(B66,Vert_Mapper!$A$2:$C$567,3,0)</f>
        <v>Business Services</v>
      </c>
      <c r="E66" s="21" t="s">
        <v>26</v>
      </c>
      <c r="F66" s="21" t="s">
        <v>18</v>
      </c>
      <c r="G66" s="21" t="str">
        <f t="shared" si="1"/>
        <v>DECLINING</v>
      </c>
      <c r="H66" s="21" t="s">
        <v>73</v>
      </c>
      <c r="I66" s="24">
        <f>IFERROR(__xludf.DUMMYFUNCTION("ROUND(
  MAX(
    MIN(
      (
        (VALUE(INDEX(SPLIT(K66,""-""),1)) + VALUE(INDEX(SPLIT(K66,""-""),2))) / 2
      ) *
      IFS(
        L66&gt;0.4, 1.6,
        L66&gt;0.1, 1.3,
        L66&gt;=-0.05, 1,
        L66&gt;=-0.2, 0.85,
        TRUE, 0.7
      ),
  "&amp;"    VALUE(INDEX(SPLIT(K66,""-""),2))
    ),
    VALUE(INDEX(SPLIT(K66,""-""),1))
  )
)"),751.0)</f>
        <v>751</v>
      </c>
      <c r="J66" s="25">
        <f>I66*(VLOOKUP(C66,'Rev_Mapping Table'!$A$1:$C$12,3,0))</f>
        <v>384512000</v>
      </c>
      <c r="K66" s="24" t="s">
        <v>54</v>
      </c>
      <c r="L66" s="26">
        <v>-0.01</v>
      </c>
      <c r="M66" s="27" t="str">
        <f>VLOOKUP(B66,Master_Mapper!$A$2:$C$628,3,0)</f>
        <v/>
      </c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>
      <c r="A67" s="13" t="b">
        <v>0</v>
      </c>
      <c r="B67" s="14" t="s">
        <v>164</v>
      </c>
      <c r="C67" s="15" t="s">
        <v>72</v>
      </c>
      <c r="D67" s="13" t="str">
        <f>vlookup(B67,Vert_Mapper!$A$2:$C$567,3,0)</f>
        <v>Media &amp; Entertainment Technology</v>
      </c>
      <c r="E67" s="13" t="s">
        <v>26</v>
      </c>
      <c r="F67" s="13" t="s">
        <v>18</v>
      </c>
      <c r="G67" s="13" t="str">
        <f t="shared" si="1"/>
        <v>HYPERGROWTH</v>
      </c>
      <c r="H67" s="13" t="s">
        <v>165</v>
      </c>
      <c r="I67" s="16" t="str">
        <f>IFERROR(__xludf.DUMMYFUNCTION("ROUND(
  MAX(
    MIN(
      (
        (VALUE(INDEX(SPLIT(K67,""-""),1)) + VALUE(INDEX(SPLIT(K67,""-""),2))) / 2
      ) *
      IFS(
        L67&gt;0.4, 1.6,
        L67&gt;0.1, 1.3,
        L67&gt;=-0.05, 1,
        L67&gt;=-0.2, 0.85,
        TRUE, 0.7
      ),
  "&amp;"    VALUE(INDEX(SPLIT(K67,""-""),2))
    ),
    VALUE(INDEX(SPLIT(K67,""-""),1))
  )
)"),"#VALUE!")</f>
        <v>#VALUE!</v>
      </c>
      <c r="J67" s="17" t="str">
        <f>I67*(VLOOKUP(C67,'Rev_Mapping Table'!$A$1:$C$12,3,0))</f>
        <v>#VALUE!</v>
      </c>
      <c r="K67" s="33" t="s">
        <v>165</v>
      </c>
      <c r="L67" s="33" t="s">
        <v>165</v>
      </c>
      <c r="M67" s="19" t="str">
        <f>VLOOKUP(B67,Master_Mapper!$A$2:$C$628,3,0)</f>
        <v>Cerity Partners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>
      <c r="A68" s="21" t="b">
        <v>0</v>
      </c>
      <c r="B68" s="31" t="s">
        <v>166</v>
      </c>
      <c r="C68" s="23" t="s">
        <v>72</v>
      </c>
      <c r="D68" s="21" t="str">
        <f>vlookup(B68,Vert_Mapper!$A$2:$C$567,3,0)</f>
        <v>Media &amp; Entertainment</v>
      </c>
      <c r="E68" s="21" t="s">
        <v>26</v>
      </c>
      <c r="F68" s="21" t="s">
        <v>18</v>
      </c>
      <c r="G68" s="21" t="str">
        <f t="shared" si="1"/>
        <v>FLAT TO NEUTRAL</v>
      </c>
      <c r="H68" s="21" t="s">
        <v>167</v>
      </c>
      <c r="I68" s="24">
        <f>IFERROR(__xludf.DUMMYFUNCTION("ROUND(
  MAX(
    MIN(
      (
        (VALUE(INDEX(SPLIT(K68,""-""),1)) + VALUE(INDEX(SPLIT(K68,""-""),2))) / 2
      ) *
      IFS(
        L68&gt;0.4, 1.6,
        L68&gt;0.1, 1.3,
        L68&gt;=-0.05, 1,
        L68&gt;=-0.2, 0.85,
        TRUE, 0.7
      ),
  "&amp;"    VALUE(INDEX(SPLIT(K68,""-""),2))
    ),
    VALUE(INDEX(SPLIT(K68,""-""),1))
  )
)"),31.0)</f>
        <v>31</v>
      </c>
      <c r="J68" s="25">
        <f>I68*(VLOOKUP(C68,'Rev_Mapping Table'!$A$1:$C$12,3,0))</f>
        <v>17484000</v>
      </c>
      <c r="K68" s="24" t="s">
        <v>25</v>
      </c>
      <c r="L68" s="26">
        <v>0.01</v>
      </c>
      <c r="M68" s="27" t="str">
        <f>VLOOKUP(B68,Master_Mapper!$A$2:$C$628,3,0)</f>
        <v>Cerity Partners</v>
      </c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>
      <c r="A69" s="13" t="b">
        <v>0</v>
      </c>
      <c r="B69" s="14" t="s">
        <v>168</v>
      </c>
      <c r="C69" s="15" t="s">
        <v>64</v>
      </c>
      <c r="D69" s="13" t="str">
        <f>vlookup(B69,Vert_Mapper!$A$2:$C$567,3,0)</f>
        <v>Agriculture Technology</v>
      </c>
      <c r="E69" s="13" t="s">
        <v>26</v>
      </c>
      <c r="F69" s="13" t="s">
        <v>18</v>
      </c>
      <c r="G69" s="13" t="str">
        <f t="shared" si="1"/>
        <v>DECLINING</v>
      </c>
      <c r="H69" s="13" t="s">
        <v>169</v>
      </c>
      <c r="I69" s="16">
        <f>IFERROR(__xludf.DUMMYFUNCTION("ROUND(
  MAX(
    MIN(
      (
        (VALUE(INDEX(SPLIT(K69,""-""),1)) + VALUE(INDEX(SPLIT(K69,""-""),2))) / 2
      ) *
      IFS(
        L69&gt;0.4, 1.6,
        L69&gt;0.1, 1.3,
        L69&gt;=-0.05, 1,
        L69&gt;=-0.2, 0.85,
        TRUE, 0.7
      ),
  "&amp;"    VALUE(INDEX(SPLIT(K69,""-""),2))
    ),
    VALUE(INDEX(SPLIT(K69,""-""),1))
  )
)"),26.0)</f>
        <v>26</v>
      </c>
      <c r="J69" s="17">
        <f>I69*(VLOOKUP(C69,'Rev_Mapping Table'!$A$1:$C$12,3,0))</f>
        <v>12818000</v>
      </c>
      <c r="K69" s="16" t="s">
        <v>25</v>
      </c>
      <c r="L69" s="18">
        <v>-0.11</v>
      </c>
      <c r="M69" s="19" t="str">
        <f>VLOOKUP(B69,Master_Mapper!$A$2:$C$628,3,0)</f>
        <v>VentureSouth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>
      <c r="A70" s="21" t="b">
        <v>0</v>
      </c>
      <c r="B70" s="31" t="s">
        <v>170</v>
      </c>
      <c r="C70" s="23" t="s">
        <v>56</v>
      </c>
      <c r="D70" s="21" t="str">
        <f>vlookup(B70,Vert_Mapper!$A$2:$C$567,3,0)</f>
        <v>Restaurants &amp; Food Services</v>
      </c>
      <c r="E70" s="21" t="s">
        <v>26</v>
      </c>
      <c r="F70" s="21" t="s">
        <v>18</v>
      </c>
      <c r="G70" s="21" t="str">
        <f t="shared" si="1"/>
        <v>GROWTH PHASE</v>
      </c>
      <c r="H70" s="21" t="s">
        <v>167</v>
      </c>
      <c r="I70" s="24">
        <f>IFERROR(__xludf.DUMMYFUNCTION("ROUND(
  MAX(
    MIN(
      (
        (VALUE(INDEX(SPLIT(K70,""-""),1)) + VALUE(INDEX(SPLIT(K70,""-""),2))) / 2
      ) *
      IFS(
        L70&gt;0.4, 1.6,
        L70&gt;0.1, 1.3,
        L70&gt;=-0.05, 1,
        L70&gt;=-0.2, 0.85,
        TRUE, 0.7
      ),
  "&amp;"    VALUE(INDEX(SPLIT(K70,""-""),2))
    ),
    VALUE(INDEX(SPLIT(K70,""-""),1))
  )
)"),351.0)</f>
        <v>351</v>
      </c>
      <c r="J70" s="25">
        <f>I70*(VLOOKUP(C70,'Rev_Mapping Table'!$A$1:$C$12,3,0))</f>
        <v>179712000</v>
      </c>
      <c r="K70" s="24" t="s">
        <v>20</v>
      </c>
      <c r="L70" s="26">
        <v>0.09</v>
      </c>
      <c r="M70" s="27" t="str">
        <f>VLOOKUP(B70,Master_Mapper!$A$2:$C$628,3,0)</f>
        <v>Hargett Hunter</v>
      </c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</row>
    <row r="71">
      <c r="A71" s="13" t="b">
        <v>0</v>
      </c>
      <c r="B71" s="14" t="s">
        <v>171</v>
      </c>
      <c r="C71" s="15" t="s">
        <v>46</v>
      </c>
      <c r="D71" s="13" t="str">
        <f>vlookup(B71,Vert_Mapper!$A$2:$C$567,3,0)</f>
        <v>Medical Devices &amp; Technology</v>
      </c>
      <c r="E71" s="13" t="s">
        <v>26</v>
      </c>
      <c r="F71" s="13" t="s">
        <v>18</v>
      </c>
      <c r="G71" s="13" t="str">
        <f t="shared" si="1"/>
        <v>SEVERELY NEGATIVE</v>
      </c>
      <c r="H71" s="13" t="s">
        <v>66</v>
      </c>
      <c r="I71" s="16">
        <f>IFERROR(__xludf.DUMMYFUNCTION("ROUND(
  MAX(
    MIN(
      (
        (VALUE(INDEX(SPLIT(K71,""-""),1)) + VALUE(INDEX(SPLIT(K71,""-""),2))) / 2
      ) *
      IFS(
        L71&gt;0.4, 1.6,
        L71&gt;0.1, 1.3,
        L71&gt;=-0.05, 1,
        L71&gt;=-0.2, 0.85,
        TRUE, 0.7
      ),
  "&amp;"    VALUE(INDEX(SPLIT(K71,""-""),2))
    ),
    VALUE(INDEX(SPLIT(K71,""-""),1))
  )
)"),88.0)</f>
        <v>88</v>
      </c>
      <c r="J71" s="17">
        <f>I71*(VLOOKUP(C71,'Rev_Mapping Table'!$A$1:$C$12,3,0))</f>
        <v>48928000</v>
      </c>
      <c r="K71" s="16" t="s">
        <v>32</v>
      </c>
      <c r="L71" s="18">
        <v>-0.21</v>
      </c>
      <c r="M71" s="19" t="str">
        <f>VLOOKUP(B71,Master_Mapper!$A$2:$C$628,3,0)</f>
        <v>VentureSouth</v>
      </c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>
      <c r="A72" s="21" t="b">
        <v>0</v>
      </c>
      <c r="B72" s="31" t="s">
        <v>172</v>
      </c>
      <c r="C72" s="23" t="s">
        <v>72</v>
      </c>
      <c r="D72" s="21" t="str">
        <f>vlookup(B72,Vert_Mapper!$A$2:$C$567,3,0)</f>
        <v>Media &amp; Entertainment Technology</v>
      </c>
      <c r="E72" s="21" t="s">
        <v>26</v>
      </c>
      <c r="F72" s="21" t="s">
        <v>18</v>
      </c>
      <c r="G72" s="21" t="str">
        <f t="shared" si="1"/>
        <v>GROWTH PHASE</v>
      </c>
      <c r="H72" s="21" t="s">
        <v>173</v>
      </c>
      <c r="I72" s="24">
        <f>IFERROR(__xludf.DUMMYFUNCTION("ROUND(
  MAX(
    MIN(
      (
        (VALUE(INDEX(SPLIT(K72,""-""),1)) + VALUE(INDEX(SPLIT(K72,""-""),2))) / 2
      ) *
      IFS(
        L72&gt;0.4, 1.6,
        L72&gt;0.1, 1.3,
        L72&gt;=-0.05, 1,
        L72&gt;=-0.2, 0.85,
        TRUE, 0.7
      ),
  "&amp;"    VALUE(INDEX(SPLIT(K72,""-""),2))
    ),
    VALUE(INDEX(SPLIT(K72,""-""),1))
  )
)"),126.0)</f>
        <v>126</v>
      </c>
      <c r="J72" s="25">
        <f>I72*(VLOOKUP(C72,'Rev_Mapping Table'!$A$1:$C$12,3,0))</f>
        <v>71064000</v>
      </c>
      <c r="K72" s="24" t="s">
        <v>32</v>
      </c>
      <c r="L72" s="26">
        <v>0.05</v>
      </c>
      <c r="M72" s="27" t="str">
        <f>VLOOKUP(B72,Master_Mapper!$A$2:$C$628,3,0)</f>
        <v>Cerity Partners</v>
      </c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</row>
    <row r="73">
      <c r="A73" s="13" t="b">
        <v>0</v>
      </c>
      <c r="B73" s="14" t="s">
        <v>174</v>
      </c>
      <c r="C73" s="15" t="s">
        <v>42</v>
      </c>
      <c r="D73" s="13" t="str">
        <f>vlookup(B73,Vert_Mapper!$A$2:$C$567,3,0)</f>
        <v>Hospitality &amp; Resorts</v>
      </c>
      <c r="E73" s="13" t="s">
        <v>175</v>
      </c>
      <c r="F73" s="13" t="s">
        <v>34</v>
      </c>
      <c r="G73" s="13" t="str">
        <f t="shared" si="1"/>
        <v>FLAT TO NEUTRAL</v>
      </c>
      <c r="H73" s="13" t="s">
        <v>176</v>
      </c>
      <c r="I73" s="16">
        <f>IFERROR(__xludf.DUMMYFUNCTION("ROUND(
  MAX(
    MIN(
      (
        (VALUE(INDEX(SPLIT(K73,""-""),1)) + VALUE(INDEX(SPLIT(K73,""-""),2))) / 2
      ) *
      IFS(
        L73&gt;0.4, 1.6,
        L73&gt;0.1, 1.3,
        L73&gt;=-0.05, 1,
        L73&gt;=-0.2, 0.85,
        TRUE, 0.7
      ),
  "&amp;"    VALUE(INDEX(SPLIT(K73,""-""),2))
    ),
    VALUE(INDEX(SPLIT(K73,""-""),1))
  )
)"),126.0)</f>
        <v>126</v>
      </c>
      <c r="J73" s="17">
        <f>I73*(VLOOKUP(C73,'Rev_Mapping Table'!$A$1:$C$12,3,0))</f>
        <v>57960000</v>
      </c>
      <c r="K73" s="16" t="s">
        <v>32</v>
      </c>
      <c r="L73" s="18">
        <v>0.03</v>
      </c>
      <c r="M73" s="19" t="str">
        <f>VLOOKUP(B73,Master_Mapper!$A$2:$C$628,3,0)</f>
        <v>South Street Partners (Charlotte)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>
      <c r="A74" s="21" t="b">
        <v>0</v>
      </c>
      <c r="B74" s="31" t="s">
        <v>177</v>
      </c>
      <c r="C74" s="23" t="s">
        <v>56</v>
      </c>
      <c r="D74" s="21" t="str">
        <f>vlookup(B74,Vert_Mapper!$A$2:$C$567,3,0)</f>
        <v>Consumer Products</v>
      </c>
      <c r="E74" s="21" t="s">
        <v>26</v>
      </c>
      <c r="F74" s="21" t="s">
        <v>18</v>
      </c>
      <c r="G74" s="21" t="str">
        <f t="shared" si="1"/>
        <v>SEVERELY NEGATIVE</v>
      </c>
      <c r="H74" s="21" t="s">
        <v>178</v>
      </c>
      <c r="I74" s="24">
        <f>IFERROR(__xludf.DUMMYFUNCTION("ROUND(
  MAX(
    MIN(
      (
        (VALUE(INDEX(SPLIT(K74,""-""),1)) + VALUE(INDEX(SPLIT(K74,""-""),2))) / 2
      ) *
      IFS(
        L74&gt;0.4, 1.6,
        L74&gt;0.1, 1.3,
        L74&gt;=-0.05, 1,
        L74&gt;=-0.2, 0.85,
        TRUE, 0.7
      ),
  "&amp;"    VALUE(INDEX(SPLIT(K74,""-""),2))
    ),
    VALUE(INDEX(SPLIT(K74,""-""),1))
  )
)"),21.0)</f>
        <v>21</v>
      </c>
      <c r="J74" s="25">
        <f>I74*(VLOOKUP(C74,'Rev_Mapping Table'!$A$1:$C$12,3,0))</f>
        <v>10752000</v>
      </c>
      <c r="K74" s="24" t="s">
        <v>25</v>
      </c>
      <c r="L74" s="26">
        <v>-0.37</v>
      </c>
      <c r="M74" s="27" t="str">
        <f>VLOOKUP(B74,Master_Mapper!$A$2:$C$628,3,0)</f>
        <v>Route 2 Capital Partners</v>
      </c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>
      <c r="A75" s="13" t="b">
        <v>0</v>
      </c>
      <c r="B75" s="14" t="s">
        <v>179</v>
      </c>
      <c r="C75" s="15" t="s">
        <v>22</v>
      </c>
      <c r="D75" s="13" t="str">
        <f>vlookup(B75,Vert_Mapper!$A$2:$C$567,3,0)</f>
        <v>Software &amp; SaaS</v>
      </c>
      <c r="E75" s="13" t="s">
        <v>26</v>
      </c>
      <c r="F75" s="13" t="s">
        <v>18</v>
      </c>
      <c r="G75" s="13" t="str">
        <f t="shared" si="1"/>
        <v>GROWTH PHASE</v>
      </c>
      <c r="H75" s="13" t="s">
        <v>146</v>
      </c>
      <c r="I75" s="16">
        <f>IFERROR(__xludf.DUMMYFUNCTION("ROUND(
  MAX(
    MIN(
      (
        (VALUE(INDEX(SPLIT(K75,""-""),1)) + VALUE(INDEX(SPLIT(K75,""-""),2))) / 2
      ) *
      IFS(
        L75&gt;0.4, 1.6,
        L75&gt;0.1, 1.3,
        L75&gt;=-0.05, 1,
        L75&gt;=-0.2, 0.85,
        TRUE, 0.7
      ),
  "&amp;"    VALUE(INDEX(SPLIT(K75,""-""),2))
    ),
    VALUE(INDEX(SPLIT(K75,""-""),1))
  )
)"),40.0)</f>
        <v>40</v>
      </c>
      <c r="J75" s="17">
        <f>I75*(VLOOKUP(C75,'Rev_Mapping Table'!$A$1:$C$12,3,0))</f>
        <v>22560000</v>
      </c>
      <c r="K75" s="16" t="s">
        <v>25</v>
      </c>
      <c r="L75" s="18">
        <v>0.15</v>
      </c>
      <c r="M75" s="19" t="str">
        <f>VLOOKUP(B75,Master_Mapper!$A$2:$C$628,3,0)</f>
        <v>VentureSouth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>
      <c r="A76" s="21" t="b">
        <v>0</v>
      </c>
      <c r="B76" s="31" t="s">
        <v>180</v>
      </c>
      <c r="C76" s="23" t="s">
        <v>22</v>
      </c>
      <c r="D76" s="21" t="str">
        <f>vlookup(B76,Vert_Mapper!$A$2:$C$567,3,0)</f>
        <v>Software &amp; SaaS</v>
      </c>
      <c r="E76" s="21" t="s">
        <v>65</v>
      </c>
      <c r="F76" s="21" t="s">
        <v>18</v>
      </c>
      <c r="G76" s="21" t="str">
        <f t="shared" si="1"/>
        <v>FLAT TO NEUTRAL</v>
      </c>
      <c r="H76" s="21" t="s">
        <v>181</v>
      </c>
      <c r="I76" s="24">
        <f>IFERROR(__xludf.DUMMYFUNCTION("ROUND(
  MAX(
    MIN(
      (
        (VALUE(INDEX(SPLIT(K76,""-""),1)) + VALUE(INDEX(SPLIT(K76,""-""),2))) / 2
      ) *
      IFS(
        L76&gt;0.4, 1.6,
        L76&gt;0.1, 1.3,
        L76&gt;=-0.05, 1,
        L76&gt;=-0.2, 0.85,
        TRUE, 0.7
      ),
  "&amp;"    VALUE(INDEX(SPLIT(K76,""-""),2))
    ),
    VALUE(INDEX(SPLIT(K76,""-""),1))
  )
)"),126.0)</f>
        <v>126</v>
      </c>
      <c r="J76" s="25">
        <f>I76*(VLOOKUP(C76,'Rev_Mapping Table'!$A$1:$C$12,3,0))</f>
        <v>71064000</v>
      </c>
      <c r="K76" s="24" t="s">
        <v>32</v>
      </c>
      <c r="L76" s="26">
        <v>0.0</v>
      </c>
      <c r="M76" s="27" t="str">
        <f>VLOOKUP(B76,Master_Mapper!$A$2:$C$628,3,0)</f>
        <v>Harbor Island Equity Partners</v>
      </c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>
      <c r="A77" s="13" t="b">
        <v>0</v>
      </c>
      <c r="B77" s="14" t="s">
        <v>182</v>
      </c>
      <c r="C77" s="15" t="s">
        <v>22</v>
      </c>
      <c r="D77" s="13" t="str">
        <f>vlookup(B77,Vert_Mapper!$A$2:$C$567,3,0)</f>
        <v>Construction Technology</v>
      </c>
      <c r="E77" s="13" t="s">
        <v>65</v>
      </c>
      <c r="F77" s="13" t="s">
        <v>18</v>
      </c>
      <c r="G77" s="13" t="str">
        <f t="shared" si="1"/>
        <v>GROWTH PHASE</v>
      </c>
      <c r="H77" s="13" t="s">
        <v>178</v>
      </c>
      <c r="I77" s="16">
        <f>IFERROR(__xludf.DUMMYFUNCTION("ROUND(
  MAX(
    MIN(
      (
        (VALUE(INDEX(SPLIT(K77,""-""),1)) + VALUE(INDEX(SPLIT(K77,""-""),2))) / 2
      ) *
      IFS(
        L77&gt;0.4, 1.6,
        L77&gt;0.1, 1.3,
        L77&gt;=-0.05, 1,
        L77&gt;=-0.2, 0.85,
        TRUE, 0.7
      ),
  "&amp;"    VALUE(INDEX(SPLIT(K77,""-""),2))
    ),
    VALUE(INDEX(SPLIT(K77,""-""),1))
  )
)"),163.0)</f>
        <v>163</v>
      </c>
      <c r="J77" s="17">
        <f>I77*(VLOOKUP(C77,'Rev_Mapping Table'!$A$1:$C$12,3,0))</f>
        <v>91932000</v>
      </c>
      <c r="K77" s="16" t="s">
        <v>32</v>
      </c>
      <c r="L77" s="18">
        <v>0.12</v>
      </c>
      <c r="M77" s="19" t="str">
        <f>VLOOKUP(B77,Master_Mapper!$A$2:$C$628,3,0)</f>
        <v>Pamlico Capital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</row>
    <row r="78">
      <c r="A78" s="21" t="b">
        <v>0</v>
      </c>
      <c r="B78" s="31" t="s">
        <v>183</v>
      </c>
      <c r="C78" s="23" t="s">
        <v>72</v>
      </c>
      <c r="D78" s="21" t="str">
        <f>vlookup(B78,Vert_Mapper!$A$2:$C$567,3,0)</f>
        <v>Media &amp; Entertainment</v>
      </c>
      <c r="E78" s="21" t="s">
        <v>26</v>
      </c>
      <c r="F78" s="21" t="s">
        <v>18</v>
      </c>
      <c r="G78" s="21" t="str">
        <f t="shared" si="1"/>
        <v>GROWTH PHASE</v>
      </c>
      <c r="H78" s="21" t="s">
        <v>155</v>
      </c>
      <c r="I78" s="24">
        <f>IFERROR(__xludf.DUMMYFUNCTION("ROUND(
  MAX(
    MIN(
      (
        (VALUE(INDEX(SPLIT(K78,""-""),1)) + VALUE(INDEX(SPLIT(K78,""-""),2))) / 2
      ) *
      IFS(
        L78&gt;0.4, 1.6,
        L78&gt;0.1, 1.3,
        L78&gt;=-0.05, 1,
        L78&gt;=-0.2, 0.85,
        TRUE, 0.7
      ),
  "&amp;"    VALUE(INDEX(SPLIT(K78,""-""),2))
    ),
    VALUE(INDEX(SPLIT(K78,""-""),1))
  )
)"),163.0)</f>
        <v>163</v>
      </c>
      <c r="J78" s="25">
        <f>I78*(VLOOKUP(C78,'Rev_Mapping Table'!$A$1:$C$12,3,0))</f>
        <v>91932000</v>
      </c>
      <c r="K78" s="24" t="s">
        <v>32</v>
      </c>
      <c r="L78" s="26">
        <v>0.14</v>
      </c>
      <c r="M78" s="27" t="str">
        <f>VLOOKUP(B78,Master_Mapper!$A$2:$C$628,3,0)</f>
        <v>Pamlico Capital</v>
      </c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>
      <c r="A79" s="13" t="b">
        <v>0</v>
      </c>
      <c r="B79" s="14" t="s">
        <v>184</v>
      </c>
      <c r="C79" s="15" t="s">
        <v>56</v>
      </c>
      <c r="D79" s="13" t="str">
        <f>vlookup(B79,Vert_Mapper!$A$2:$C$567,3,0)</f>
        <v>Restaurants &amp; Food Services</v>
      </c>
      <c r="E79" s="13" t="s">
        <v>26</v>
      </c>
      <c r="F79" s="13" t="s">
        <v>18</v>
      </c>
      <c r="G79" s="13" t="str">
        <f t="shared" si="1"/>
        <v>DECLINING</v>
      </c>
      <c r="H79" s="13" t="s">
        <v>185</v>
      </c>
      <c r="I79" s="16">
        <f>IFERROR(__xludf.DUMMYFUNCTION("ROUND(
  MAX(
    MIN(
      (
        (VALUE(INDEX(SPLIT(K79,""-""),1)) + VALUE(INDEX(SPLIT(K79,""-""),2))) / 2
      ) *
      IFS(
        L79&gt;0.4, 1.6,
        L79&gt;0.1, 1.3,
        L79&gt;=-0.05, 1,
        L79&gt;=-0.2, 0.85,
        TRUE, 0.7
      ),
  "&amp;"    VALUE(INDEX(SPLIT(K79,""-""),2))
    ),
    VALUE(INDEX(SPLIT(K79,""-""),1))
  )
)"),107.0)</f>
        <v>107</v>
      </c>
      <c r="J79" s="17">
        <f>I79*(VLOOKUP(C79,'Rev_Mapping Table'!$A$1:$C$12,3,0))</f>
        <v>54784000</v>
      </c>
      <c r="K79" s="16" t="s">
        <v>32</v>
      </c>
      <c r="L79" s="18">
        <v>-0.1</v>
      </c>
      <c r="M79" s="19" t="str">
        <f>VLOOKUP(B79,Master_Mapper!$A$2:$C$628,3,0)</f>
        <v>Hargett Hunter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</row>
    <row r="80">
      <c r="A80" s="21" t="b">
        <v>0</v>
      </c>
      <c r="B80" s="31" t="s">
        <v>186</v>
      </c>
      <c r="C80" s="23" t="s">
        <v>46</v>
      </c>
      <c r="D80" s="21" t="str">
        <f>vlookup(B80,Vert_Mapper!$A$2:$C$567,3,0)</f>
        <v>Biotechnology &amp; Pharmaceuticals</v>
      </c>
      <c r="E80" s="21" t="s">
        <v>85</v>
      </c>
      <c r="F80" s="21" t="s">
        <v>86</v>
      </c>
      <c r="G80" s="21" t="str">
        <f t="shared" si="1"/>
        <v>GROWTH PHASE</v>
      </c>
      <c r="H80" s="21" t="s">
        <v>187</v>
      </c>
      <c r="I80" s="24">
        <f>IFERROR(__xludf.DUMMYFUNCTION("ROUND(
  MAX(
    MIN(
      (
        (VALUE(INDEX(SPLIT(K80,""-""),1)) + VALUE(INDEX(SPLIT(K80,""-""),2))) / 2
      ) *
      IFS(
        L80&gt;0.4, 1.6,
        L80&gt;0.1, 1.3,
        L80&gt;=-0.05, 1,
        L80&gt;=-0.2, 0.85,
        TRUE, 0.7
      ),
  "&amp;"    VALUE(INDEX(SPLIT(K80,""-""),2))
    ),
    VALUE(INDEX(SPLIT(K80,""-""),1))
  )
)"),351.0)</f>
        <v>351</v>
      </c>
      <c r="J80" s="25">
        <f>I80*(VLOOKUP(C80,'Rev_Mapping Table'!$A$1:$C$12,3,0))</f>
        <v>195156000</v>
      </c>
      <c r="K80" s="24" t="s">
        <v>20</v>
      </c>
      <c r="L80" s="26">
        <v>0.1</v>
      </c>
      <c r="M80" s="27" t="str">
        <f>VLOOKUP(B80,Master_Mapper!$A$2:$C$628,3,0)</f>
        <v>QHP Capital</v>
      </c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</row>
    <row r="81">
      <c r="A81" s="13" t="b">
        <v>0</v>
      </c>
      <c r="B81" s="14" t="s">
        <v>188</v>
      </c>
      <c r="C81" s="15" t="s">
        <v>56</v>
      </c>
      <c r="D81" s="13" t="str">
        <f>vlookup(B81,Vert_Mapper!$A$2:$C$567,3,0)</f>
        <v>Consumer Products</v>
      </c>
      <c r="E81" s="13" t="s">
        <v>26</v>
      </c>
      <c r="F81" s="13" t="s">
        <v>18</v>
      </c>
      <c r="G81" s="13" t="str">
        <f t="shared" si="1"/>
        <v>ACCELERATED GROWTH</v>
      </c>
      <c r="H81" s="13" t="s">
        <v>189</v>
      </c>
      <c r="I81" s="16">
        <f>IFERROR(__xludf.DUMMYFUNCTION("ROUND(
  MAX(
    MIN(
      (
        (VALUE(INDEX(SPLIT(K81,""-""),1)) + VALUE(INDEX(SPLIT(K81,""-""),2))) / 2
      ) *
      IFS(
        L81&gt;0.4, 1.6,
        L81&gt;0.1, 1.3,
        L81&gt;=-0.05, 1,
        L81&gt;=-0.2, 0.85,
        TRUE, 0.7
      ),
  "&amp;"    VALUE(INDEX(SPLIT(K81,""-""),2))
    ),
    VALUE(INDEX(SPLIT(K81,""-""),1))
  )
)"),456.0)</f>
        <v>456</v>
      </c>
      <c r="J81" s="17">
        <f>I81*(VLOOKUP(C81,'Rev_Mapping Table'!$A$1:$C$12,3,0))</f>
        <v>233472000</v>
      </c>
      <c r="K81" s="16" t="s">
        <v>20</v>
      </c>
      <c r="L81" s="18">
        <v>0.31</v>
      </c>
      <c r="M81" s="19" t="str">
        <f>VLOOKUP(B81,Master_Mapper!$A$2:$C$628,3,0)</f>
        <v>Route 2 Capital Partners</v>
      </c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>
      <c r="A82" s="21" t="b">
        <v>0</v>
      </c>
      <c r="B82" s="31" t="s">
        <v>190</v>
      </c>
      <c r="C82" s="23" t="s">
        <v>46</v>
      </c>
      <c r="D82" s="21" t="str">
        <f>vlookup(B82,Vert_Mapper!$A$2:$C$567,3,0)</f>
        <v>Medical Devices &amp; Technology</v>
      </c>
      <c r="E82" s="21" t="s">
        <v>85</v>
      </c>
      <c r="F82" s="21" t="s">
        <v>86</v>
      </c>
      <c r="G82" s="21" t="str">
        <f t="shared" si="1"/>
        <v>FLAT TO NEUTRAL</v>
      </c>
      <c r="H82" s="21" t="s">
        <v>66</v>
      </c>
      <c r="I82" s="24">
        <f>IFERROR(__xludf.DUMMYFUNCTION("ROUND(
  MAX(
    MIN(
      (
        (VALUE(INDEX(SPLIT(K82,""-""),1)) + VALUE(INDEX(SPLIT(K82,""-""),2))) / 2
      ) *
      IFS(
        L82&gt;0.4, 1.6,
        L82&gt;0.1, 1.3,
        L82&gt;=-0.05, 1,
        L82&gt;=-0.2, 0.85,
        TRUE, 0.7
      ),
  "&amp;"    VALUE(INDEX(SPLIT(K82,""-""),2))
    ),
    VALUE(INDEX(SPLIT(K82,""-""),1))
  )
)"),6.0)</f>
        <v>6</v>
      </c>
      <c r="J82" s="25">
        <f>I82*(VLOOKUP(C82,'Rev_Mapping Table'!$A$1:$C$12,3,0))</f>
        <v>3336000</v>
      </c>
      <c r="K82" s="32">
        <v>45698.0</v>
      </c>
      <c r="L82" s="26">
        <v>0.0</v>
      </c>
      <c r="M82" s="27" t="str">
        <f>VLOOKUP(B82,Master_Mapper!$A$2:$C$628,3,0)</f>
        <v/>
      </c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</row>
    <row r="83">
      <c r="A83" s="13" t="b">
        <v>0</v>
      </c>
      <c r="B83" s="14" t="s">
        <v>191</v>
      </c>
      <c r="C83" s="15" t="s">
        <v>22</v>
      </c>
      <c r="D83" s="13" t="str">
        <f>vlookup(B83,Vert_Mapper!$A$2:$C$567,3,0)</f>
        <v>Software &amp; SaaS</v>
      </c>
      <c r="E83" s="13" t="s">
        <v>26</v>
      </c>
      <c r="F83" s="13" t="s">
        <v>18</v>
      </c>
      <c r="G83" s="13" t="str">
        <f t="shared" si="1"/>
        <v>HYPERGROWTH</v>
      </c>
      <c r="H83" s="13" t="s">
        <v>131</v>
      </c>
      <c r="I83" s="16" t="str">
        <f>IFERROR(__xludf.DUMMYFUNCTION("ROUND(
  MAX(
    MIN(
      (
        (VALUE(INDEX(SPLIT(K83,""-""),1)) + VALUE(INDEX(SPLIT(K83,""-""),2))) / 2
      ) *
      IFS(
        L83&gt;0.4, 1.6,
        L83&gt;0.1, 1.3,
        L83&gt;=-0.05, 1,
        L83&gt;=-0.2, 0.85,
        TRUE, 0.7
      ),
  "&amp;"    VALUE(INDEX(SPLIT(K83,""-""),2))
    ),
    VALUE(INDEX(SPLIT(K83,""-""),1))
  )
)"),"#VALUE!")</f>
        <v>#VALUE!</v>
      </c>
      <c r="J83" s="17" t="str">
        <f>I83*(VLOOKUP(C83,'Rev_Mapping Table'!$A$1:$C$12,3,0))</f>
        <v>#VALUE!</v>
      </c>
      <c r="K83" s="33" t="s">
        <v>131</v>
      </c>
      <c r="L83" s="33" t="s">
        <v>131</v>
      </c>
      <c r="M83" s="19" t="str">
        <f>VLOOKUP(B83,Master_Mapper!$A$2:$C$628,3,0)</f>
        <v>Succession Capital Partners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>
      <c r="A84" s="21" t="b">
        <v>0</v>
      </c>
      <c r="B84" s="31" t="s">
        <v>192</v>
      </c>
      <c r="C84" s="23" t="s">
        <v>16</v>
      </c>
      <c r="D84" s="21" t="str">
        <f>vlookup(B84,Vert_Mapper!$A$2:$C$567,3,0)</f>
        <v>Maritime &amp; Marine Services</v>
      </c>
      <c r="E84" s="21" t="s">
        <v>121</v>
      </c>
      <c r="F84" s="21" t="s">
        <v>34</v>
      </c>
      <c r="G84" s="21" t="str">
        <f t="shared" si="1"/>
        <v>HYPERGROWTH</v>
      </c>
      <c r="H84" s="21" t="s">
        <v>193</v>
      </c>
      <c r="I84" s="24">
        <f>IFERROR(__xludf.DUMMYFUNCTION("ROUND(
  MAX(
    MIN(
      (
        (VALUE(INDEX(SPLIT(K84,""-""),1)) + VALUE(INDEX(SPLIT(K84,""-""),2))) / 2
      ) *
      IFS(
        L84&gt;0.4, 1.6,
        L84&gt;0.1, 1.3,
        L84&gt;=-0.05, 1,
        L84&gt;=-0.2, 0.85,
        TRUE, 0.7
      ),
  "&amp;"    VALUE(INDEX(SPLIT(K84,""-""),2))
    ),
    VALUE(INDEX(SPLIT(K84,""-""),1))
  )
)"),10.0)</f>
        <v>10</v>
      </c>
      <c r="J84" s="25">
        <f>I84*(VLOOKUP(C84,'Rev_Mapping Table'!$A$1:$C$12,3,0))</f>
        <v>4930000</v>
      </c>
      <c r="K84" s="32">
        <v>45698.0</v>
      </c>
      <c r="L84" s="26">
        <v>2.75</v>
      </c>
      <c r="M84" s="27" t="str">
        <f>VLOOKUP(B84,Master_Mapper!$A$2:$C$628,3,0)</f>
        <v>S23 Holdings</v>
      </c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</row>
    <row r="85">
      <c r="A85" s="13" t="b">
        <v>0</v>
      </c>
      <c r="B85" s="14" t="s">
        <v>194</v>
      </c>
      <c r="C85" s="15" t="s">
        <v>42</v>
      </c>
      <c r="D85" s="13" t="str">
        <f>vlookup(B85,Vert_Mapper!$A$2:$C$567,3,0)</f>
        <v>Property Management &amp; Services</v>
      </c>
      <c r="E85" s="13" t="s">
        <v>65</v>
      </c>
      <c r="F85" s="13" t="s">
        <v>30</v>
      </c>
      <c r="G85" s="13" t="str">
        <f t="shared" si="1"/>
        <v>ACCELERATED GROWTH</v>
      </c>
      <c r="H85" s="13" t="s">
        <v>195</v>
      </c>
      <c r="I85" s="16">
        <f>IFERROR(__xludf.DUMMYFUNCTION("ROUND(
  MAX(
    MIN(
      (
        (VALUE(INDEX(SPLIT(K85,""-""),1)) + VALUE(INDEX(SPLIT(K85,""-""),2))) / 2
      ) *
      IFS(
        L85&gt;0.4, 1.6,
        L85&gt;0.1, 1.3,
        L85&gt;=-0.05, 1,
        L85&gt;=-0.2, 0.85,
        TRUE, 0.7
      ),
  "&amp;"    VALUE(INDEX(SPLIT(K85,""-""),2))
    ),
    VALUE(INDEX(SPLIT(K85,""-""),1))
  )
)"),163.0)</f>
        <v>163</v>
      </c>
      <c r="J85" s="17">
        <f>I85*(VLOOKUP(C85,'Rev_Mapping Table'!$A$1:$C$12,3,0))</f>
        <v>74980000</v>
      </c>
      <c r="K85" s="16" t="s">
        <v>32</v>
      </c>
      <c r="L85" s="18">
        <v>0.26</v>
      </c>
      <c r="M85" s="19" t="str">
        <f>VLOOKUP(B85,Master_Mapper!$A$2:$C$628,3,0)</f>
        <v>SharpVue Capital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>
      <c r="A86" s="21" t="b">
        <v>0</v>
      </c>
      <c r="B86" s="31" t="s">
        <v>196</v>
      </c>
      <c r="C86" s="23" t="s">
        <v>56</v>
      </c>
      <c r="D86" s="21" t="str">
        <f>vlookup(B86,Vert_Mapper!$A$2:$C$567,3,0)</f>
        <v>Retail &amp; E-commerce</v>
      </c>
      <c r="E86" s="21" t="s">
        <v>26</v>
      </c>
      <c r="F86" s="21" t="s">
        <v>18</v>
      </c>
      <c r="G86" s="21" t="str">
        <f t="shared" si="1"/>
        <v>SEVERELY NEGATIVE</v>
      </c>
      <c r="H86" s="21" t="s">
        <v>146</v>
      </c>
      <c r="I86" s="24">
        <f>IFERROR(__xludf.DUMMYFUNCTION("ROUND(
  MAX(
    MIN(
      (
        (VALUE(INDEX(SPLIT(K86,""-""),1)) + VALUE(INDEX(SPLIT(K86,""-""),2))) / 2
      ) *
      IFS(
        L86&gt;0.4, 1.6,
        L86&gt;0.1, 1.3,
        L86&gt;=-0.05, 1,
        L86&gt;=-0.2, 0.85,
        TRUE, 0.7
      ),
  "&amp;"    VALUE(INDEX(SPLIT(K86,""-""),2))
    ),
    VALUE(INDEX(SPLIT(K86,""-""),1))
  )
)"),88.0)</f>
        <v>88</v>
      </c>
      <c r="J86" s="25">
        <f>I86*(VLOOKUP(C86,'Rev_Mapping Table'!$A$1:$C$12,3,0))</f>
        <v>45056000</v>
      </c>
      <c r="K86" s="24" t="s">
        <v>32</v>
      </c>
      <c r="L86" s="26">
        <v>-0.22</v>
      </c>
      <c r="M86" s="27" t="str">
        <f>VLOOKUP(B86,Master_Mapper!$A$2:$C$628,3,0)</f>
        <v>Cock Island Capital</v>
      </c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</row>
    <row r="87">
      <c r="A87" s="13" t="b">
        <v>0</v>
      </c>
      <c r="B87" s="14" t="s">
        <v>197</v>
      </c>
      <c r="C87" s="15" t="s">
        <v>16</v>
      </c>
      <c r="D87" s="13" t="str">
        <f>vlookup(B87,Vert_Mapper!$A$2:$C$567,3,0)</f>
        <v>Home Services / Construction / Industrial Services</v>
      </c>
      <c r="E87" s="13" t="s">
        <v>26</v>
      </c>
      <c r="F87" s="13" t="s">
        <v>18</v>
      </c>
      <c r="G87" s="13" t="str">
        <f t="shared" si="1"/>
        <v>SEVERELY NEGATIVE</v>
      </c>
      <c r="H87" s="13" t="s">
        <v>92</v>
      </c>
      <c r="I87" s="16">
        <f>IFERROR(__xludf.DUMMYFUNCTION("ROUND(
  MAX(
    MIN(
      (
        (VALUE(INDEX(SPLIT(K87,""-""),1)) + VALUE(INDEX(SPLIT(K87,""-""),2))) / 2
      ) *
      IFS(
        L87&gt;0.4, 1.6,
        L87&gt;0.1, 1.3,
        L87&gt;=-0.05, 1,
        L87&gt;=-0.2, 0.85,
        TRUE, 0.7
      ),
  "&amp;"    VALUE(INDEX(SPLIT(K87,""-""),2))
    ),
    VALUE(INDEX(SPLIT(K87,""-""),1))
  )
)"),88.0)</f>
        <v>88</v>
      </c>
      <c r="J87" s="17">
        <f>I87*(VLOOKUP(C87,'Rev_Mapping Table'!$A$1:$C$12,3,0))</f>
        <v>43384000</v>
      </c>
      <c r="K87" s="16" t="s">
        <v>32</v>
      </c>
      <c r="L87" s="18">
        <v>-0.41</v>
      </c>
      <c r="M87" s="19" t="str">
        <f>VLOOKUP(B87,Master_Mapper!$A$2:$C$628,3,0)</f>
        <v>VentureSouth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>
      <c r="A88" s="21" t="b">
        <v>0</v>
      </c>
      <c r="B88" s="31" t="s">
        <v>198</v>
      </c>
      <c r="C88" s="23" t="s">
        <v>16</v>
      </c>
      <c r="D88" s="21" t="str">
        <f>vlookup(B88,Vert_Mapper!$A$2:$C$567,3,0)</f>
        <v>Home Services / Construction / Industrial Services</v>
      </c>
      <c r="E88" s="21" t="s">
        <v>26</v>
      </c>
      <c r="F88" s="21" t="s">
        <v>18</v>
      </c>
      <c r="G88" s="21" t="str">
        <f t="shared" si="1"/>
        <v>GROWTH PHASE</v>
      </c>
      <c r="H88" s="21" t="s">
        <v>123</v>
      </c>
      <c r="I88" s="24">
        <f>IFERROR(__xludf.DUMMYFUNCTION("ROUND(
  MAX(
    MIN(
      (
        (VALUE(INDEX(SPLIT(K88,""-""),1)) + VALUE(INDEX(SPLIT(K88,""-""),2))) / 2
      ) *
      IFS(
        L88&gt;0.4, 1.6,
        L88&gt;0.1, 1.3,
        L88&gt;=-0.05, 1,
        L88&gt;=-0.2, 0.85,
        TRUE, 0.7
      ),
  "&amp;"    VALUE(INDEX(SPLIT(K88,""-""),2))
    ),
    VALUE(INDEX(SPLIT(K88,""-""),1))
  )
)"),351.0)</f>
        <v>351</v>
      </c>
      <c r="J88" s="25">
        <f>I88*(VLOOKUP(C88,'Rev_Mapping Table'!$A$1:$C$12,3,0))</f>
        <v>173043000</v>
      </c>
      <c r="K88" s="24" t="s">
        <v>20</v>
      </c>
      <c r="L88" s="26">
        <v>0.04</v>
      </c>
      <c r="M88" s="27" t="str">
        <f>VLOOKUP(B88,Master_Mapper!$A$2:$C$628,3,0)</f>
        <v>Vibora Capital</v>
      </c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</row>
    <row r="89">
      <c r="A89" s="13" t="b">
        <v>0</v>
      </c>
      <c r="B89" s="14" t="s">
        <v>199</v>
      </c>
      <c r="C89" s="15" t="s">
        <v>72</v>
      </c>
      <c r="D89" s="13" t="str">
        <f>vlookup(B89,Vert_Mapper!$A$2:$C$567,3,0)</f>
        <v>Marketing &amp; Advertising</v>
      </c>
      <c r="E89" s="13" t="s">
        <v>65</v>
      </c>
      <c r="F89" s="13" t="s">
        <v>30</v>
      </c>
      <c r="G89" s="13" t="str">
        <f t="shared" si="1"/>
        <v>GROWTH PHASE</v>
      </c>
      <c r="H89" s="13" t="s">
        <v>83</v>
      </c>
      <c r="I89" s="16">
        <f>IFERROR(__xludf.DUMMYFUNCTION("ROUND(
  MAX(
    MIN(
      (
        (VALUE(INDEX(SPLIT(K89,""-""),1)) + VALUE(INDEX(SPLIT(K89,""-""),2))) / 2
      ) *
      IFS(
        L89&gt;0.4, 1.6,
        L89&gt;0.1, 1.3,
        L89&gt;=-0.05, 1,
        L89&gt;=-0.2, 0.85,
        TRUE, 0.7
      ),
  "&amp;"    VALUE(INDEX(SPLIT(K89,""-""),2))
    ),
    VALUE(INDEX(SPLIT(K89,""-""),1))
  )
)"),751.0)</f>
        <v>751</v>
      </c>
      <c r="J89" s="17">
        <f>I89*(VLOOKUP(C89,'Rev_Mapping Table'!$A$1:$C$12,3,0))</f>
        <v>423564000</v>
      </c>
      <c r="K89" s="16" t="s">
        <v>54</v>
      </c>
      <c r="L89" s="18">
        <v>0.05</v>
      </c>
      <c r="M89" s="19" t="str">
        <f>VLOOKUP(B89,Master_Mapper!$A$2:$C$628,3,0)</f>
        <v>Falfurrias Capital Partners</v>
      </c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>
      <c r="A90" s="21" t="b">
        <v>0</v>
      </c>
      <c r="B90" s="31" t="s">
        <v>200</v>
      </c>
      <c r="C90" s="23" t="s">
        <v>64</v>
      </c>
      <c r="D90" s="21" t="str">
        <f>vlookup(B90,Vert_Mapper!$A$2:$C$567,3,0)</f>
        <v>Chemicals &amp; Petrochemicals</v>
      </c>
      <c r="E90" s="21" t="s">
        <v>26</v>
      </c>
      <c r="F90" s="21" t="s">
        <v>18</v>
      </c>
      <c r="G90" s="21" t="str">
        <f t="shared" si="1"/>
        <v>FLAT TO NEUTRAL</v>
      </c>
      <c r="H90" s="21" t="s">
        <v>201</v>
      </c>
      <c r="I90" s="24">
        <f>IFERROR(__xludf.DUMMYFUNCTION("ROUND(
  MAX(
    MIN(
      (
        (VALUE(INDEX(SPLIT(K90,""-""),1)) + VALUE(INDEX(SPLIT(K90,""-""),2))) / 2
      ) *
      IFS(
        L90&gt;0.4, 1.6,
        L90&gt;0.1, 1.3,
        L90&gt;=-0.05, 1,
        L90&gt;=-0.2, 0.85,
        TRUE, 0.7
      ),
  "&amp;"    VALUE(INDEX(SPLIT(K90,""-""),2))
    ),
    VALUE(INDEX(SPLIT(K90,""-""),1))
  )
)"),7501.0)</f>
        <v>7501</v>
      </c>
      <c r="J90" s="25">
        <f>I90*(VLOOKUP(C90,'Rev_Mapping Table'!$A$1:$C$12,3,0))</f>
        <v>3697993000</v>
      </c>
      <c r="K90" s="24" t="s">
        <v>81</v>
      </c>
      <c r="L90" s="26">
        <v>0.03</v>
      </c>
      <c r="M90" s="27" t="str">
        <f>VLOOKUP(B90,Master_Mapper!$A$2:$C$628,3,0)</f>
        <v>Cerity Partners</v>
      </c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</row>
    <row r="91">
      <c r="A91" s="13" t="b">
        <v>0</v>
      </c>
      <c r="B91" s="14" t="s">
        <v>202</v>
      </c>
      <c r="C91" s="15" t="s">
        <v>22</v>
      </c>
      <c r="D91" s="13" t="str">
        <f>vlookup(B91,Vert_Mapper!$A$2:$C$567,3,0)</f>
        <v>Security &amp; Cybersecurity</v>
      </c>
      <c r="E91" s="13" t="s">
        <v>26</v>
      </c>
      <c r="F91" s="13" t="s">
        <v>18</v>
      </c>
      <c r="G91" s="13" t="str">
        <f t="shared" si="1"/>
        <v>ACCELERATED GROWTH</v>
      </c>
      <c r="H91" s="13" t="s">
        <v>83</v>
      </c>
      <c r="I91" s="16">
        <f>IFERROR(__xludf.DUMMYFUNCTION("ROUND(
  MAX(
    MIN(
      (
        (VALUE(INDEX(SPLIT(K91,""-""),1)) + VALUE(INDEX(SPLIT(K91,""-""),2))) / 2
      ) *
      IFS(
        L91&gt;0.4, 1.6,
        L91&gt;0.1, 1.3,
        L91&gt;=-0.05, 1,
        L91&gt;=-0.2, 0.85,
        TRUE, 0.7
      ),
  "&amp;"    VALUE(INDEX(SPLIT(K91,""-""),2))
    ),
    VALUE(INDEX(SPLIT(K91,""-""),1))
  )
)"),40.0)</f>
        <v>40</v>
      </c>
      <c r="J91" s="17">
        <f>I91*(VLOOKUP(C91,'Rev_Mapping Table'!$A$1:$C$12,3,0))</f>
        <v>22560000</v>
      </c>
      <c r="K91" s="16" t="s">
        <v>25</v>
      </c>
      <c r="L91" s="18">
        <v>0.38</v>
      </c>
      <c r="M91" s="19" t="str">
        <f>VLOOKUP(B91,Master_Mapper!$A$2:$C$628,3,0)</f>
        <v>VentureSouth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>
      <c r="A92" s="21" t="b">
        <v>1</v>
      </c>
      <c r="B92" s="31" t="s">
        <v>203</v>
      </c>
      <c r="C92" s="23" t="s">
        <v>38</v>
      </c>
      <c r="D92" s="21" t="str">
        <f>vlookup(B92,Vert_Mapper!$A$2:$C$567,3,0)</f>
        <v>Financial Technology &amp; Investment Services</v>
      </c>
      <c r="E92" s="21" t="s">
        <v>204</v>
      </c>
      <c r="F92" s="21" t="s">
        <v>30</v>
      </c>
      <c r="G92" s="21" t="str">
        <f t="shared" si="1"/>
        <v>GROWTH PHASE</v>
      </c>
      <c r="H92" s="21" t="s">
        <v>24</v>
      </c>
      <c r="I92" s="24">
        <f>IFERROR(__xludf.DUMMYFUNCTION("ROUND(
  MAX(
    MIN(
      (
        (VALUE(INDEX(SPLIT(K92,""-""),1)) + VALUE(INDEX(SPLIT(K92,""-""),2))) / 2
      ) *
      IFS(
        L92&gt;0.4, 1.6,
        L92&gt;0.1, 1.3,
        L92&gt;=-0.05, 1,
        L92&gt;=-0.2, 0.85,
        TRUE, 0.7
      ),
  "&amp;"    VALUE(INDEX(SPLIT(K92,""-""),2))
    ),
    VALUE(INDEX(SPLIT(K92,""-""),1))
  )
)"),3901.0)</f>
        <v>3901</v>
      </c>
      <c r="J92" s="25">
        <f>I92*(VLOOKUP(C92,'Rev_Mapping Table'!$A$1:$C$12,3,0))</f>
        <v>3530405000</v>
      </c>
      <c r="K92" s="24" t="s">
        <v>96</v>
      </c>
      <c r="L92" s="26">
        <v>0.19</v>
      </c>
      <c r="M92" s="27" t="str">
        <f>VLOOKUP(B92,Master_Mapper!$A$2:$C$628,3,0)</f>
        <v>Vibora Capital</v>
      </c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</row>
    <row r="93">
      <c r="A93" s="13" t="b">
        <v>0</v>
      </c>
      <c r="B93" s="14" t="s">
        <v>205</v>
      </c>
      <c r="C93" s="15" t="s">
        <v>111</v>
      </c>
      <c r="D93" s="13" t="str">
        <f>vlookup(B93,Vert_Mapper!$A$2:$C$567,3,0)</f>
        <v>Food &amp; Beverage Manufacturing</v>
      </c>
      <c r="E93" s="13" t="s">
        <v>26</v>
      </c>
      <c r="F93" s="13" t="s">
        <v>18</v>
      </c>
      <c r="G93" s="13" t="str">
        <f t="shared" si="1"/>
        <v>HYPERGROWTH</v>
      </c>
      <c r="H93" s="13" t="s">
        <v>131</v>
      </c>
      <c r="I93" s="16" t="str">
        <f>IFERROR(__xludf.DUMMYFUNCTION("ROUND(
  MAX(
    MIN(
      (
        (VALUE(INDEX(SPLIT(K93,""-""),1)) + VALUE(INDEX(SPLIT(K93,""-""),2))) / 2
      ) *
      IFS(
        L93&gt;0.4, 1.6,
        L93&gt;0.1, 1.3,
        L93&gt;=-0.05, 1,
        L93&gt;=-0.2, 0.85,
        TRUE, 0.7
      ),
  "&amp;"    VALUE(INDEX(SPLIT(K93,""-""),2))
    ),
    VALUE(INDEX(SPLIT(K93,""-""),1))
  )
)"),"#VALUE!")</f>
        <v>#VALUE!</v>
      </c>
      <c r="J93" s="17" t="str">
        <f>I93*(VLOOKUP(C93,'Rev_Mapping Table'!$A$1:$C$12,3,0))</f>
        <v>#VALUE!</v>
      </c>
      <c r="K93" s="33" t="s">
        <v>131</v>
      </c>
      <c r="L93" s="33" t="s">
        <v>131</v>
      </c>
      <c r="M93" s="19" t="str">
        <f>VLOOKUP(B93,Master_Mapper!$A$2:$C$628,3,0)</f>
        <v>Cerity Partners</v>
      </c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>
      <c r="A94" s="21" t="b">
        <v>0</v>
      </c>
      <c r="B94" s="31" t="s">
        <v>206</v>
      </c>
      <c r="C94" s="23" t="s">
        <v>16</v>
      </c>
      <c r="D94" s="21" t="str">
        <f>vlookup(B94,Vert_Mapper!$A$2:$C$567,3,0)</f>
        <v>#N/A</v>
      </c>
      <c r="E94" s="21" t="s">
        <v>26</v>
      </c>
      <c r="F94" s="21" t="s">
        <v>18</v>
      </c>
      <c r="G94" s="21" t="str">
        <f t="shared" si="1"/>
        <v>FLAT TO NEUTRAL</v>
      </c>
      <c r="H94" s="21" t="s">
        <v>207</v>
      </c>
      <c r="I94" s="24">
        <f>IFERROR(__xludf.DUMMYFUNCTION("ROUND(
  MAX(
    MIN(
      (
        (VALUE(INDEX(SPLIT(K94,""-""),1)) + VALUE(INDEX(SPLIT(K94,""-""),2))) / 2
      ) *
      IFS(
        L94&gt;0.4, 1.6,
        L94&gt;0.1, 1.3,
        L94&gt;=-0.05, 1,
        L94&gt;=-0.2, 0.85,
        TRUE, 0.7
      ),
  "&amp;"    VALUE(INDEX(SPLIT(K94,""-""),2))
    ),
    VALUE(INDEX(SPLIT(K94,""-""),1))
  )
)"),126.0)</f>
        <v>126</v>
      </c>
      <c r="J94" s="25">
        <f>I94*(VLOOKUP(C94,'Rev_Mapping Table'!$A$1:$C$12,3,0))</f>
        <v>62118000</v>
      </c>
      <c r="K94" s="24" t="s">
        <v>32</v>
      </c>
      <c r="L94" s="26">
        <v>0.01</v>
      </c>
      <c r="M94" s="27" t="str">
        <f>VLOOKUP(B94,Master_Mapper!$A$2:$C$628,3,0)</f>
        <v>Blue Point Capital Partners</v>
      </c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</row>
    <row r="95">
      <c r="A95" s="13" t="b">
        <v>0</v>
      </c>
      <c r="B95" s="14" t="s">
        <v>208</v>
      </c>
      <c r="C95" s="15" t="s">
        <v>111</v>
      </c>
      <c r="D95" s="13" t="str">
        <f>vlookup(B95,Vert_Mapper!$A$2:$C$567,3,0)</f>
        <v>Food &amp; Beverage Manufacturing</v>
      </c>
      <c r="E95" s="13" t="s">
        <v>26</v>
      </c>
      <c r="F95" s="13" t="s">
        <v>18</v>
      </c>
      <c r="G95" s="13" t="str">
        <f t="shared" si="1"/>
        <v>FLAT TO NEUTRAL</v>
      </c>
      <c r="H95" s="13" t="s">
        <v>209</v>
      </c>
      <c r="I95" s="16">
        <f>IFERROR(__xludf.DUMMYFUNCTION("ROUND(
  MAX(
    MIN(
      (
        (VALUE(INDEX(SPLIT(K95,""-""),1)) + VALUE(INDEX(SPLIT(K95,""-""),2))) / 2
      ) *
      IFS(
        L95&gt;0.4, 1.6,
        L95&gt;0.1, 1.3,
        L95&gt;=-0.05, 1,
        L95&gt;=-0.2, 0.85,
        TRUE, 0.7
      ),
  "&amp;"    VALUE(INDEX(SPLIT(K95,""-""),2))
    ),
    VALUE(INDEX(SPLIT(K95,""-""),1))
  )
)"),126.0)</f>
        <v>126</v>
      </c>
      <c r="J95" s="17">
        <f>I95*(VLOOKUP(C95,'Rev_Mapping Table'!$A$1:$C$12,3,0))</f>
        <v>70056000</v>
      </c>
      <c r="K95" s="16" t="s">
        <v>32</v>
      </c>
      <c r="L95" s="18">
        <v>0.0</v>
      </c>
      <c r="M95" s="19" t="str">
        <f>VLOOKUP(B95,Master_Mapper!$A$2:$C$628,3,0)</f>
        <v>Azalea Capital</v>
      </c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>
      <c r="A96" s="21" t="b">
        <v>1</v>
      </c>
      <c r="B96" s="31" t="s">
        <v>210</v>
      </c>
      <c r="C96" s="23" t="s">
        <v>22</v>
      </c>
      <c r="D96" s="21" t="str">
        <f>vlookup(B96,Vert_Mapper!$A$2:$C$567,3,0)</f>
        <v>Software &amp; SaaS</v>
      </c>
      <c r="E96" s="21" t="s">
        <v>211</v>
      </c>
      <c r="F96" s="21" t="s">
        <v>18</v>
      </c>
      <c r="G96" s="21" t="str">
        <f t="shared" si="1"/>
        <v>DECLINING</v>
      </c>
      <c r="H96" s="21" t="s">
        <v>212</v>
      </c>
      <c r="I96" s="24">
        <f>IFERROR(__xludf.DUMMYFUNCTION("ROUND(
  MAX(
    MIN(
      (
        (VALUE(INDEX(SPLIT(K96,""-""),1)) + VALUE(INDEX(SPLIT(K96,""-""),2))) / 2
      ) *
      IFS(
        L96&gt;0.4, 1.6,
        L96&gt;0.1, 1.3,
        L96&gt;=-0.05, 1,
        L96&gt;=-0.2, 0.85,
        TRUE, 0.7
      ),
  "&amp;"    VALUE(INDEX(SPLIT(K96,""-""),2))
    ),
    VALUE(INDEX(SPLIT(K96,""-""),1))
  )
)"),5.0)</f>
        <v>5</v>
      </c>
      <c r="J96" s="25">
        <f>I96*(VLOOKUP(C96,'Rev_Mapping Table'!$A$1:$C$12,3,0))</f>
        <v>2820000</v>
      </c>
      <c r="K96" s="32">
        <v>45698.0</v>
      </c>
      <c r="L96" s="26">
        <v>-0.09</v>
      </c>
      <c r="M96" s="27" t="str">
        <f>VLOOKUP(B96,Master_Mapper!$A$2:$C$628,3,0)</f>
        <v>VentureSouth</v>
      </c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</row>
    <row r="97">
      <c r="A97" s="13" t="b">
        <v>0</v>
      </c>
      <c r="B97" s="14" t="s">
        <v>213</v>
      </c>
      <c r="C97" s="15" t="s">
        <v>72</v>
      </c>
      <c r="D97" s="13" t="str">
        <f>vlookup(B97,Vert_Mapper!$A$2:$C$567,3,0)</f>
        <v>Media &amp; Entertainment</v>
      </c>
      <c r="E97" s="13" t="s">
        <v>26</v>
      </c>
      <c r="F97" s="13" t="s">
        <v>18</v>
      </c>
      <c r="G97" s="13" t="str">
        <f t="shared" si="1"/>
        <v>GROWTH PHASE</v>
      </c>
      <c r="H97" s="13" t="s">
        <v>83</v>
      </c>
      <c r="I97" s="16">
        <f>IFERROR(__xludf.DUMMYFUNCTION("ROUND(
  MAX(
    MIN(
      (
        (VALUE(INDEX(SPLIT(K97,""-""),1)) + VALUE(INDEX(SPLIT(K97,""-""),2))) / 2
      ) *
      IFS(
        L97&gt;0.4, 1.6,
        L97&gt;0.1, 1.3,
        L97&gt;=-0.05, 1,
        L97&gt;=-0.2, 0.85,
        TRUE, 0.7
      ),
  "&amp;"    VALUE(INDEX(SPLIT(K97,""-""),2))
    ),
    VALUE(INDEX(SPLIT(K97,""-""),1))
  )
)"),351.0)</f>
        <v>351</v>
      </c>
      <c r="J97" s="17">
        <f>I97*(VLOOKUP(C97,'Rev_Mapping Table'!$A$1:$C$12,3,0))</f>
        <v>197964000</v>
      </c>
      <c r="K97" s="16" t="s">
        <v>20</v>
      </c>
      <c r="L97" s="18">
        <v>0.09</v>
      </c>
      <c r="M97" s="19" t="str">
        <f>VLOOKUP(B97,Master_Mapper!$A$2:$C$628,3,0)</f>
        <v/>
      </c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>
      <c r="A98" s="21" t="b">
        <v>0</v>
      </c>
      <c r="B98" s="31" t="s">
        <v>214</v>
      </c>
      <c r="C98" s="23" t="s">
        <v>16</v>
      </c>
      <c r="D98" s="21" t="str">
        <f>vlookup(B98,Vert_Mapper!$A$2:$C$567,3,0)</f>
        <v>Transportation &amp; Logistics</v>
      </c>
      <c r="E98" s="21" t="s">
        <v>121</v>
      </c>
      <c r="F98" s="21" t="s">
        <v>34</v>
      </c>
      <c r="G98" s="21" t="str">
        <f t="shared" si="1"/>
        <v>FLAT TO NEUTRAL</v>
      </c>
      <c r="H98" s="21" t="s">
        <v>215</v>
      </c>
      <c r="I98" s="24">
        <f>IFERROR(__xludf.DUMMYFUNCTION("ROUND(
  MAX(
    MIN(
      (
        (VALUE(INDEX(SPLIT(K98,""-""),1)) + VALUE(INDEX(SPLIT(K98,""-""),2))) / 2
      ) *
      IFS(
        L98&gt;0.4, 1.6,
        L98&gt;0.1, 1.3,
        L98&gt;=-0.05, 1,
        L98&gt;=-0.2, 0.85,
        TRUE, 0.7
      ),
  "&amp;"    VALUE(INDEX(SPLIT(K98,""-""),2))
    ),
    VALUE(INDEX(SPLIT(K98,""-""),1))
  )
)"),31.0)</f>
        <v>31</v>
      </c>
      <c r="J98" s="25">
        <f>I98*(VLOOKUP(C98,'Rev_Mapping Table'!$A$1:$C$12,3,0))</f>
        <v>15283000</v>
      </c>
      <c r="K98" s="24" t="s">
        <v>25</v>
      </c>
      <c r="L98" s="26">
        <v>0.0</v>
      </c>
      <c r="M98" s="27" t="str">
        <f>VLOOKUP(B98,Master_Mapper!$A$2:$C$628,3,0)</f>
        <v>Envest Capital Partners</v>
      </c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</row>
    <row r="99">
      <c r="A99" s="13" t="b">
        <v>0</v>
      </c>
      <c r="B99" s="14" t="s">
        <v>216</v>
      </c>
      <c r="C99" s="15" t="s">
        <v>217</v>
      </c>
      <c r="D99" s="13" t="str">
        <f>vlookup(B99,Vert_Mapper!$A$2:$C$567,3,0)</f>
        <v>Nuclear &amp; Alternative Energy</v>
      </c>
      <c r="E99" s="13" t="s">
        <v>26</v>
      </c>
      <c r="F99" s="13" t="s">
        <v>18</v>
      </c>
      <c r="G99" s="13" t="str">
        <f t="shared" si="1"/>
        <v>GROWTH PHASE</v>
      </c>
      <c r="H99" s="13" t="s">
        <v>218</v>
      </c>
      <c r="I99" s="16">
        <f>IFERROR(__xludf.DUMMYFUNCTION("ROUND(
  MAX(
    MIN(
      (
        (VALUE(INDEX(SPLIT(K99,""-""),1)) + VALUE(INDEX(SPLIT(K99,""-""),2))) / 2
      ) *
      IFS(
        L99&gt;0.4, 1.6,
        L99&gt;0.1, 1.3,
        L99&gt;=-0.05, 1,
        L99&gt;=-0.2, 0.85,
        TRUE, 0.7
      ),
  "&amp;"    VALUE(INDEX(SPLIT(K99,""-""),2))
    ),
    VALUE(INDEX(SPLIT(K99,""-""),1))
  )
)"),163.0)</f>
        <v>163</v>
      </c>
      <c r="J99" s="17">
        <f>I99*(VLOOKUP(C99,'Rev_Mapping Table'!$A$1:$C$12,3,0))</f>
        <v>493890000</v>
      </c>
      <c r="K99" s="16" t="s">
        <v>32</v>
      </c>
      <c r="L99" s="18">
        <v>0.13</v>
      </c>
      <c r="M99" s="19" t="str">
        <f>VLOOKUP(B99,Master_Mapper!$A$2:$C$628,3,0)</f>
        <v>Halifax Group</v>
      </c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>
      <c r="A100" s="21" t="b">
        <v>0</v>
      </c>
      <c r="B100" s="31" t="s">
        <v>219</v>
      </c>
      <c r="C100" s="23" t="s">
        <v>220</v>
      </c>
      <c r="D100" s="21" t="str">
        <f>vlookup(B100,Vert_Mapper!$A$2:$C$567,3,0)</f>
        <v>#N/A</v>
      </c>
      <c r="E100" s="21" t="s">
        <v>26</v>
      </c>
      <c r="F100" s="21" t="s">
        <v>18</v>
      </c>
      <c r="G100" s="21" t="str">
        <f t="shared" si="1"/>
        <v>DECLINING</v>
      </c>
      <c r="H100" s="21" t="s">
        <v>221</v>
      </c>
      <c r="I100" s="24">
        <f>IFERROR(__xludf.DUMMYFUNCTION("ROUND(
  MAX(
    MIN(
      (
        (VALUE(INDEX(SPLIT(K100,""-""),1)) + VALUE(INDEX(SPLIT(K100,""-""),2))) / 2
      ) *
      IFS(
        L100&gt;0.4, 1.6,
        L100&gt;0.1, 1.3,
        L100&gt;=-0.05, 1,
        L100&gt;=-0.2, 0.85,
        TRUE, 0.7
     "&amp;" ),
      VALUE(INDEX(SPLIT(K100,""-""),2))
    ),
    VALUE(INDEX(SPLIT(K100,""-""),1))
  )
)"),31.0)</f>
        <v>31</v>
      </c>
      <c r="J100" s="25">
        <f>I100*(VLOOKUP(C100,'Rev_Mapping Table'!$A$1:$C$12,3,0))</f>
        <v>53940000</v>
      </c>
      <c r="K100" s="24" t="s">
        <v>25</v>
      </c>
      <c r="L100" s="26">
        <v>-0.02</v>
      </c>
      <c r="M100" s="27" t="str">
        <f>VLOOKUP(B100,Master_Mapper!$A$2:$C$628,3,0)</f>
        <v>#N/A</v>
      </c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</row>
    <row r="101">
      <c r="A101" s="13" t="b">
        <v>0</v>
      </c>
      <c r="B101" s="14" t="s">
        <v>222</v>
      </c>
      <c r="C101" s="15" t="s">
        <v>22</v>
      </c>
      <c r="D101" s="13" t="str">
        <f>vlookup(B101,Vert_Mapper!$A$2:$C$567,3,0)</f>
        <v>Software &amp; SaaS</v>
      </c>
      <c r="E101" s="13" t="s">
        <v>26</v>
      </c>
      <c r="F101" s="13" t="s">
        <v>18</v>
      </c>
      <c r="G101" s="13" t="str">
        <f t="shared" si="1"/>
        <v>DECLINING</v>
      </c>
      <c r="H101" s="13" t="s">
        <v>151</v>
      </c>
      <c r="I101" s="16">
        <f>IFERROR(__xludf.DUMMYFUNCTION("ROUND(
  MAX(
    MIN(
      (
        (VALUE(INDEX(SPLIT(K101,""-""),1)) + VALUE(INDEX(SPLIT(K101,""-""),2))) / 2
      ) *
      IFS(
        L101&gt;0.4, 1.6,
        L101&gt;0.1, 1.3,
        L101&gt;=-0.05, 1,
        L101&gt;=-0.2, 0.85,
        TRUE, 0.7
     "&amp;" ),
      VALUE(INDEX(SPLIT(K101,""-""),2))
    ),
    VALUE(INDEX(SPLIT(K101,""-""),1))
  )
)"),26.0)</f>
        <v>26</v>
      </c>
      <c r="J101" s="17">
        <f>I101*(VLOOKUP(C101,'Rev_Mapping Table'!$A$1:$C$12,3,0))</f>
        <v>14664000</v>
      </c>
      <c r="K101" s="16" t="s">
        <v>25</v>
      </c>
      <c r="L101" s="18">
        <v>-0.07</v>
      </c>
      <c r="M101" s="19" t="str">
        <f>VLOOKUP(B101,Master_Mapper!$A$2:$C$628,3,0)</f>
        <v>Harbright Ventures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</row>
    <row r="102">
      <c r="A102" s="21" t="b">
        <v>0</v>
      </c>
      <c r="B102" s="31" t="s">
        <v>223</v>
      </c>
      <c r="C102" s="23" t="s">
        <v>46</v>
      </c>
      <c r="D102" s="21" t="str">
        <f>vlookup(B102,Vert_Mapper!$A$2:$C$567,3,0)</f>
        <v>Healthcare Services</v>
      </c>
      <c r="E102" s="21" t="s">
        <v>26</v>
      </c>
      <c r="F102" s="21" t="s">
        <v>18</v>
      </c>
      <c r="G102" s="21" t="str">
        <f t="shared" si="1"/>
        <v>GROWTH PHASE</v>
      </c>
      <c r="H102" s="21" t="s">
        <v>224</v>
      </c>
      <c r="I102" s="24">
        <f>IFERROR(__xludf.DUMMYFUNCTION("ROUND(
  MAX(
    MIN(
      (
        (VALUE(INDEX(SPLIT(K102,""-""),1)) + VALUE(INDEX(SPLIT(K102,""-""),2))) / 2
      ) *
      IFS(
        L102&gt;0.4, 1.6,
        L102&gt;0.1, 1.3,
        L102&gt;=-0.05, 1,
        L102&gt;=-0.2, 0.85,
        TRUE, 0.7
     "&amp;" ),
      VALUE(INDEX(SPLIT(K102,""-""),2))
    ),
    VALUE(INDEX(SPLIT(K102,""-""),1))
  )
)"),126.0)</f>
        <v>126</v>
      </c>
      <c r="J102" s="25">
        <f>I102*(VLOOKUP(C102,'Rev_Mapping Table'!$A$1:$C$12,3,0))</f>
        <v>70056000</v>
      </c>
      <c r="K102" s="24" t="s">
        <v>32</v>
      </c>
      <c r="L102" s="26">
        <v>0.1</v>
      </c>
      <c r="M102" s="27" t="str">
        <f>VLOOKUP(B102,Master_Mapper!$A$2:$C$628,3,0)</f>
        <v>Falfurrias Capital Partners</v>
      </c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</row>
    <row r="103">
      <c r="A103" s="13" t="b">
        <v>0</v>
      </c>
      <c r="B103" s="14" t="s">
        <v>225</v>
      </c>
      <c r="C103" s="15" t="s">
        <v>22</v>
      </c>
      <c r="D103" s="13" t="str">
        <f>vlookup(B103,Vert_Mapper!$A$2:$C$567,3,0)</f>
        <v>Software &amp; SaaS</v>
      </c>
      <c r="E103" s="13" t="s">
        <v>26</v>
      </c>
      <c r="F103" s="13" t="s">
        <v>18</v>
      </c>
      <c r="G103" s="13" t="str">
        <f t="shared" si="1"/>
        <v>GROWTH PHASE</v>
      </c>
      <c r="H103" s="13" t="s">
        <v>155</v>
      </c>
      <c r="I103" s="16">
        <f>IFERROR(__xludf.DUMMYFUNCTION("ROUND(
  MAX(
    MIN(
      (
        (VALUE(INDEX(SPLIT(K103,""-""),1)) + VALUE(INDEX(SPLIT(K103,""-""),2))) / 2
      ) *
      IFS(
        L103&gt;0.4, 1.6,
        L103&gt;0.1, 1.3,
        L103&gt;=-0.05, 1,
        L103&gt;=-0.2, 0.85,
        TRUE, 0.7
     "&amp;" ),
      VALUE(INDEX(SPLIT(K103,""-""),2))
    ),
    VALUE(INDEX(SPLIT(K103,""-""),1))
  )
)"),31.0)</f>
        <v>31</v>
      </c>
      <c r="J103" s="17">
        <f>I103*(VLOOKUP(C103,'Rev_Mapping Table'!$A$1:$C$12,3,0))</f>
        <v>17484000</v>
      </c>
      <c r="K103" s="16" t="s">
        <v>25</v>
      </c>
      <c r="L103" s="18">
        <v>0.04</v>
      </c>
      <c r="M103" s="19" t="str">
        <f>VLOOKUP(B103,Master_Mapper!$A$2:$C$628,3,0)</f>
        <v>QHP Capital</v>
      </c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>
      <c r="A104" s="21" t="b">
        <v>1</v>
      </c>
      <c r="B104" s="31" t="s">
        <v>226</v>
      </c>
      <c r="C104" s="23" t="s">
        <v>46</v>
      </c>
      <c r="D104" s="21" t="str">
        <f>vlookup(B104,Vert_Mapper!$A$2:$C$567,3,0)</f>
        <v>Healthcare Technology &amp; Analytics</v>
      </c>
      <c r="E104" s="21" t="s">
        <v>26</v>
      </c>
      <c r="F104" s="21" t="s">
        <v>18</v>
      </c>
      <c r="G104" s="21" t="str">
        <f t="shared" si="1"/>
        <v>GROWTH PHASE</v>
      </c>
      <c r="H104" s="21" t="s">
        <v>125</v>
      </c>
      <c r="I104" s="24">
        <f>IFERROR(__xludf.DUMMYFUNCTION("ROUND(
  MAX(
    MIN(
      (
        (VALUE(INDEX(SPLIT(K104,""-""),1)) + VALUE(INDEX(SPLIT(K104,""-""),2))) / 2
      ) *
      IFS(
        L104&gt;0.4, 1.6,
        L104&gt;0.1, 1.3,
        L104&gt;=-0.05, 1,
        L104&gt;=-0.2, 0.85,
        TRUE, 0.7
     "&amp;" ),
      VALUE(INDEX(SPLIT(K104,""-""),2))
    ),
    VALUE(INDEX(SPLIT(K104,""-""),1))
  )
)"),6.0)</f>
        <v>6</v>
      </c>
      <c r="J104" s="25">
        <f>I104*(VLOOKUP(C104,'Rev_Mapping Table'!$A$1:$C$12,3,0))</f>
        <v>3336000</v>
      </c>
      <c r="K104" s="32">
        <v>45698.0</v>
      </c>
      <c r="L104" s="26">
        <v>0.08</v>
      </c>
      <c r="M104" s="27" t="str">
        <f>VLOOKUP(B104,Master_Mapper!$A$2:$C$628,3,0)</f>
        <v>Vibora Capital</v>
      </c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</row>
    <row r="105">
      <c r="A105" s="13" t="b">
        <v>1</v>
      </c>
      <c r="B105" s="14" t="s">
        <v>227</v>
      </c>
      <c r="C105" s="15" t="s">
        <v>22</v>
      </c>
      <c r="D105" s="13" t="str">
        <f>vlookup(B105,Vert_Mapper!$A$2:$C$567,3,0)</f>
        <v>Software &amp; SaaS</v>
      </c>
      <c r="E105" s="13" t="s">
        <v>26</v>
      </c>
      <c r="F105" s="13" t="s">
        <v>18</v>
      </c>
      <c r="G105" s="13" t="str">
        <f t="shared" si="1"/>
        <v>GROWTH PHASE</v>
      </c>
      <c r="H105" s="13" t="s">
        <v>228</v>
      </c>
      <c r="I105" s="16">
        <f>IFERROR(__xludf.DUMMYFUNCTION("ROUND(
  MAX(
    MIN(
      (
        (VALUE(INDEX(SPLIT(K105,""-""),1)) + VALUE(INDEX(SPLIT(K105,""-""),2))) / 2
      ) *
      IFS(
        L105&gt;0.4, 1.6,
        L105&gt;0.1, 1.3,
        L105&gt;=-0.05, 1,
        L105&gt;=-0.2, 0.85,
        TRUE, 0.7
     "&amp;" ),
      VALUE(INDEX(SPLIT(K105,""-""),2))
    ),
    VALUE(INDEX(SPLIT(K105,""-""),1))
  )
)"),8.0)</f>
        <v>8</v>
      </c>
      <c r="J105" s="17">
        <f>I105*(VLOOKUP(C105,'Rev_Mapping Table'!$A$1:$C$12,3,0))</f>
        <v>4512000</v>
      </c>
      <c r="K105" s="30">
        <v>45698.0</v>
      </c>
      <c r="L105" s="18">
        <v>0.13</v>
      </c>
      <c r="M105" s="19" t="str">
        <f>VLOOKUP(B105,Master_Mapper!$A$2:$C$628,3,0)</f>
        <v>VentureSouth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</row>
    <row r="106">
      <c r="A106" s="21" t="b">
        <v>0</v>
      </c>
      <c r="B106" s="31" t="s">
        <v>229</v>
      </c>
      <c r="C106" s="23" t="s">
        <v>56</v>
      </c>
      <c r="D106" s="21" t="str">
        <f>vlookup(B106,Vert_Mapper!$A$2:$C$567,3,0)</f>
        <v>Restaurants &amp; Food Services</v>
      </c>
      <c r="E106" s="21" t="s">
        <v>26</v>
      </c>
      <c r="F106" s="21" t="s">
        <v>18</v>
      </c>
      <c r="G106" s="21" t="str">
        <f t="shared" si="1"/>
        <v>HYPERGROWTH</v>
      </c>
      <c r="H106" s="21" t="s">
        <v>131</v>
      </c>
      <c r="I106" s="24" t="str">
        <f>IFERROR(__xludf.DUMMYFUNCTION("ROUND(
  MAX(
    MIN(
      (
        (VALUE(INDEX(SPLIT(K106,""-""),1)) + VALUE(INDEX(SPLIT(K106,""-""),2))) / 2
      ) *
      IFS(
        L106&gt;0.4, 1.6,
        L106&gt;0.1, 1.3,
        L106&gt;=-0.05, 1,
        L106&gt;=-0.2, 0.85,
        TRUE, 0.7
     "&amp;" ),
      VALUE(INDEX(SPLIT(K106,""-""),2))
    ),
    VALUE(INDEX(SPLIT(K106,""-""),1))
  )
)"),"#VALUE!")</f>
        <v>#VALUE!</v>
      </c>
      <c r="J106" s="25" t="str">
        <f>I106*(VLOOKUP(C106,'Rev_Mapping Table'!$A$1:$C$12,3,0))</f>
        <v>#VALUE!</v>
      </c>
      <c r="K106" s="35" t="s">
        <v>131</v>
      </c>
      <c r="L106" s="35" t="s">
        <v>131</v>
      </c>
      <c r="M106" s="27" t="str">
        <f>VLOOKUP(B106,Master_Mapper!$A$2:$C$628,3,0)</f>
        <v>Hargett Hunter</v>
      </c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</row>
    <row r="107">
      <c r="A107" s="13" t="b">
        <v>0</v>
      </c>
      <c r="B107" s="14" t="s">
        <v>230</v>
      </c>
      <c r="C107" s="15" t="s">
        <v>56</v>
      </c>
      <c r="D107" s="13" t="str">
        <f>vlookup(B107,Vert_Mapper!$A$2:$C$567,3,0)</f>
        <v>Restaurants &amp; Food Services</v>
      </c>
      <c r="E107" s="13" t="s">
        <v>175</v>
      </c>
      <c r="F107" s="13" t="s">
        <v>34</v>
      </c>
      <c r="G107" s="13" t="str">
        <f t="shared" si="1"/>
        <v>GROWTH PHASE</v>
      </c>
      <c r="H107" s="13" t="s">
        <v>231</v>
      </c>
      <c r="I107" s="16">
        <f>IFERROR(__xludf.DUMMYFUNCTION("ROUND(
  MAX(
    MIN(
      (
        (VALUE(INDEX(SPLIT(K107,""-""),1)) + VALUE(INDEX(SPLIT(K107,""-""),2))) / 2
      ) *
      IFS(
        L107&gt;0.4, 1.6,
        L107&gt;0.1, 1.3,
        L107&gt;=-0.05, 1,
        L107&gt;=-0.2, 0.85,
        TRUE, 0.7
     "&amp;" ),
      VALUE(INDEX(SPLIT(K107,""-""),2))
    ),
    VALUE(INDEX(SPLIT(K107,""-""),1))
  )
)"),351.0)</f>
        <v>351</v>
      </c>
      <c r="J107" s="17">
        <f>I107*(VLOOKUP(C107,'Rev_Mapping Table'!$A$1:$C$12,3,0))</f>
        <v>179712000</v>
      </c>
      <c r="K107" s="16" t="s">
        <v>20</v>
      </c>
      <c r="L107" s="18">
        <v>0.05</v>
      </c>
      <c r="M107" s="19" t="str">
        <f>VLOOKUP(B107,Master_Mapper!$A$2:$C$628,3,0)</f>
        <v>Hargett Hunter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</row>
    <row r="108">
      <c r="A108" s="21" t="b">
        <v>1</v>
      </c>
      <c r="B108" s="31" t="s">
        <v>232</v>
      </c>
      <c r="C108" s="23" t="s">
        <v>22</v>
      </c>
      <c r="D108" s="21" t="str">
        <f>vlookup(B108,Vert_Mapper!$A$2:$C$567,3,0)</f>
        <v>Hardware &amp; Equipment</v>
      </c>
      <c r="E108" s="21" t="s">
        <v>65</v>
      </c>
      <c r="F108" s="21" t="s">
        <v>18</v>
      </c>
      <c r="G108" s="21" t="str">
        <f t="shared" si="1"/>
        <v>FLAT TO NEUTRAL</v>
      </c>
      <c r="H108" s="21" t="s">
        <v>83</v>
      </c>
      <c r="I108" s="24">
        <f>IFERROR(__xludf.DUMMYFUNCTION("ROUND(
  MAX(
    MIN(
      (
        (VALUE(INDEX(SPLIT(K108,""-""),1)) + VALUE(INDEX(SPLIT(K108,""-""),2))) / 2
      ) *
      IFS(
        L108&gt;0.4, 1.6,
        L108&gt;0.1, 1.3,
        L108&gt;=-0.05, 1,
        L108&gt;=-0.2, 0.85,
        TRUE, 0.7
     "&amp;" ),
      VALUE(INDEX(SPLIT(K108,""-""),2))
    ),
    VALUE(INDEX(SPLIT(K108,""-""),1))
  )
)"),6.0)</f>
        <v>6</v>
      </c>
      <c r="J108" s="25">
        <f>I108*(VLOOKUP(C108,'Rev_Mapping Table'!$A$1:$C$12,3,0))</f>
        <v>3384000</v>
      </c>
      <c r="K108" s="32">
        <v>45698.0</v>
      </c>
      <c r="L108" s="26">
        <v>0.0</v>
      </c>
      <c r="M108" s="27" t="str">
        <f>VLOOKUP(B108,Master_Mapper!$A$2:$C$628,3,0)</f>
        <v>Harbor Island Equity Partners</v>
      </c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</row>
    <row r="109">
      <c r="A109" s="13" t="b">
        <v>0</v>
      </c>
      <c r="B109" s="14" t="s">
        <v>233</v>
      </c>
      <c r="C109" s="15" t="s">
        <v>46</v>
      </c>
      <c r="D109" s="13" t="str">
        <f>vlookup(B109,Vert_Mapper!$A$2:$C$567,3,0)</f>
        <v>Healthcare Services</v>
      </c>
      <c r="E109" s="13" t="s">
        <v>79</v>
      </c>
      <c r="F109" s="13" t="s">
        <v>18</v>
      </c>
      <c r="G109" s="13" t="str">
        <f t="shared" si="1"/>
        <v>DECLINING</v>
      </c>
      <c r="H109" s="13" t="s">
        <v>167</v>
      </c>
      <c r="I109" s="16">
        <f>IFERROR(__xludf.DUMMYFUNCTION("ROUND(
  MAX(
    MIN(
      (
        (VALUE(INDEX(SPLIT(K109,""-""),1)) + VALUE(INDEX(SPLIT(K109,""-""),2))) / 2
      ) *
      IFS(
        L109&gt;0.4, 1.6,
        L109&gt;0.1, 1.3,
        L109&gt;=-0.05, 1,
        L109&gt;=-0.2, 0.85,
        TRUE, 0.7
     "&amp;" ),
      VALUE(INDEX(SPLIT(K109,""-""),2))
    ),
    VALUE(INDEX(SPLIT(K109,""-""),1))
  )
)"),351.0)</f>
        <v>351</v>
      </c>
      <c r="J109" s="17">
        <f>I109*(VLOOKUP(C109,'Rev_Mapping Table'!$A$1:$C$12,3,0))</f>
        <v>195156000</v>
      </c>
      <c r="K109" s="16" t="s">
        <v>20</v>
      </c>
      <c r="L109" s="18">
        <v>-0.05</v>
      </c>
      <c r="M109" s="19" t="str">
        <f>VLOOKUP(B109,Master_Mapper!$A$2:$C$628,3,0)</f>
        <v>NovaQuest Capital Mgmt</v>
      </c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</row>
    <row r="110">
      <c r="A110" s="21" t="b">
        <v>0</v>
      </c>
      <c r="B110" s="34" t="s">
        <v>234</v>
      </c>
      <c r="C110" s="23" t="s">
        <v>72</v>
      </c>
      <c r="D110" s="21" t="str">
        <f>vlookup(B110,Vert_Mapper!$A$2:$C$567,3,0)</f>
        <v>Media &amp; Entertainment Technology</v>
      </c>
      <c r="E110" s="21" t="s">
        <v>26</v>
      </c>
      <c r="F110" s="21" t="s">
        <v>18</v>
      </c>
      <c r="G110" s="21" t="str">
        <f t="shared" si="1"/>
        <v>DECLINING</v>
      </c>
      <c r="H110" s="21" t="s">
        <v>83</v>
      </c>
      <c r="I110" s="24">
        <f>IFERROR(__xludf.DUMMYFUNCTION("ROUND(
  MAX(
    MIN(
      (
        (VALUE(INDEX(SPLIT(K110,""-""),1)) + VALUE(INDEX(SPLIT(K110,""-""),2))) / 2
      ) *
      IFS(
        L110&gt;0.4, 1.6,
        L110&gt;0.1, 1.3,
        L110&gt;=-0.05, 1,
        L110&gt;=-0.2, 0.85,
        TRUE, 0.7
     "&amp;" ),
      VALUE(INDEX(SPLIT(K110,""-""),2))
    ),
    VALUE(INDEX(SPLIT(K110,""-""),1))
  )
)"),298.0)</f>
        <v>298</v>
      </c>
      <c r="J110" s="25">
        <f>I110*(VLOOKUP(C110,'Rev_Mapping Table'!$A$1:$C$12,3,0))</f>
        <v>168072000</v>
      </c>
      <c r="K110" s="24" t="s">
        <v>20</v>
      </c>
      <c r="L110" s="26">
        <v>-0.16</v>
      </c>
      <c r="M110" s="27" t="str">
        <f>VLOOKUP(B110,Master_Mapper!$A$2:$C$628,3,0)</f>
        <v>Cerity Partners</v>
      </c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</row>
    <row r="111">
      <c r="A111" s="13" t="b">
        <v>0</v>
      </c>
      <c r="B111" s="14" t="s">
        <v>235</v>
      </c>
      <c r="C111" s="15" t="s">
        <v>16</v>
      </c>
      <c r="D111" s="13" t="str">
        <f>vlookup(B111,Vert_Mapper!$A$2:$C$567,3,0)</f>
        <v>Home Services / Construction / Industrial Services</v>
      </c>
      <c r="E111" s="13" t="s">
        <v>29</v>
      </c>
      <c r="F111" s="13" t="s">
        <v>34</v>
      </c>
      <c r="G111" s="13" t="str">
        <f t="shared" si="1"/>
        <v>GROWTH PHASE</v>
      </c>
      <c r="H111" s="13" t="s">
        <v>236</v>
      </c>
      <c r="I111" s="16">
        <f>IFERROR(__xludf.DUMMYFUNCTION("ROUND(
  MAX(
    MIN(
      (
        (VALUE(INDEX(SPLIT(K111,""-""),1)) + VALUE(INDEX(SPLIT(K111,""-""),2))) / 2
      ) *
      IFS(
        L111&gt;0.4, 1.6,
        L111&gt;0.1, 1.3,
        L111&gt;=-0.05, 1,
        L111&gt;=-0.2, 0.85,
        TRUE, 0.7
     "&amp;" ),
      VALUE(INDEX(SPLIT(K111,""-""),2))
    ),
    VALUE(INDEX(SPLIT(K111,""-""),1))
  )
)"),351.0)</f>
        <v>351</v>
      </c>
      <c r="J111" s="17">
        <f>I111*(VLOOKUP(C111,'Rev_Mapping Table'!$A$1:$C$12,3,0))</f>
        <v>173043000</v>
      </c>
      <c r="K111" s="16" t="s">
        <v>20</v>
      </c>
      <c r="L111" s="18">
        <v>0.1</v>
      </c>
      <c r="M111" s="19" t="str">
        <f>VLOOKUP(B111,Master_Mapper!$A$2:$C$628,3,0)</f>
        <v>Envest Capital Partners</v>
      </c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>
      <c r="A112" s="21" t="b">
        <v>0</v>
      </c>
      <c r="B112" s="31" t="s">
        <v>237</v>
      </c>
      <c r="C112" s="23" t="s">
        <v>16</v>
      </c>
      <c r="D112" s="21" t="str">
        <f>vlookup(B112,Vert_Mapper!$A$2:$C$567,3,0)</f>
        <v>Manufacturing &amp; Processing</v>
      </c>
      <c r="E112" s="21" t="s">
        <v>26</v>
      </c>
      <c r="F112" s="21" t="s">
        <v>18</v>
      </c>
      <c r="G112" s="21" t="str">
        <f t="shared" si="1"/>
        <v>FLAT TO NEUTRAL</v>
      </c>
      <c r="H112" s="21" t="s">
        <v>88</v>
      </c>
      <c r="I112" s="24">
        <f>IFERROR(__xludf.DUMMYFUNCTION("ROUND(
  MAX(
    MIN(
      (
        (VALUE(INDEX(SPLIT(K112,""-""),1)) + VALUE(INDEX(SPLIT(K112,""-""),2))) / 2
      ) *
      IFS(
        L112&gt;0.4, 1.6,
        L112&gt;0.1, 1.3,
        L112&gt;=-0.05, 1,
        L112&gt;=-0.2, 0.85,
        TRUE, 0.7
     "&amp;" ),
      VALUE(INDEX(SPLIT(K112,""-""),2))
    ),
    VALUE(INDEX(SPLIT(K112,""-""),1))
  )
)"),351.0)</f>
        <v>351</v>
      </c>
      <c r="J112" s="25">
        <f>I112*(VLOOKUP(C112,'Rev_Mapping Table'!$A$1:$C$12,3,0))</f>
        <v>173043000</v>
      </c>
      <c r="K112" s="24" t="s">
        <v>20</v>
      </c>
      <c r="L112" s="26">
        <v>0.01</v>
      </c>
      <c r="M112" s="27" t="str">
        <f>VLOOKUP(B112,Master_Mapper!$A$2:$C$628,3,0)</f>
        <v>Eshelman Ventures, LLC</v>
      </c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</row>
    <row r="113">
      <c r="A113" s="13" t="b">
        <v>0</v>
      </c>
      <c r="B113" s="14" t="s">
        <v>238</v>
      </c>
      <c r="C113" s="15" t="s">
        <v>38</v>
      </c>
      <c r="D113" s="13" t="str">
        <f>vlookup(B113,Vert_Mapper!$A$2:$C$567,3,0)</f>
        <v>Banking &amp; Financial Institutions</v>
      </c>
      <c r="E113" s="13" t="s">
        <v>79</v>
      </c>
      <c r="F113" s="13" t="s">
        <v>18</v>
      </c>
      <c r="G113" s="13" t="str">
        <f t="shared" si="1"/>
        <v>HYPERGROWTH</v>
      </c>
      <c r="H113" s="13" t="s">
        <v>131</v>
      </c>
      <c r="I113" s="16" t="str">
        <f>IFERROR(__xludf.DUMMYFUNCTION("ROUND(
  MAX(
    MIN(
      (
        (VALUE(INDEX(SPLIT(K113,""-""),1)) + VALUE(INDEX(SPLIT(K113,""-""),2))) / 2
      ) *
      IFS(
        L113&gt;0.4, 1.6,
        L113&gt;0.1, 1.3,
        L113&gt;=-0.05, 1,
        L113&gt;=-0.2, 0.85,
        TRUE, 0.7
     "&amp;" ),
      VALUE(INDEX(SPLIT(K113,""-""),2))
    ),
    VALUE(INDEX(SPLIT(K113,""-""),1))
  )
)"),"#VALUE!")</f>
        <v>#VALUE!</v>
      </c>
      <c r="J113" s="17" t="str">
        <f>I113*(VLOOKUP(C113,'Rev_Mapping Table'!$A$1:$C$12,3,0))</f>
        <v>#VALUE!</v>
      </c>
      <c r="K113" s="33" t="s">
        <v>131</v>
      </c>
      <c r="L113" s="33" t="s">
        <v>131</v>
      </c>
      <c r="M113" s="19" t="str">
        <f>VLOOKUP(B113,Master_Mapper!$A$2:$C$628,3,0)</f>
        <v>Harbor Island Equity Partners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</row>
    <row r="114">
      <c r="A114" s="21" t="b">
        <v>0</v>
      </c>
      <c r="B114" s="31" t="s">
        <v>239</v>
      </c>
      <c r="C114" s="23" t="s">
        <v>111</v>
      </c>
      <c r="D114" s="21" t="str">
        <f>vlookup(B114,Vert_Mapper!$A$2:$C$567,3,0)</f>
        <v>Food &amp; Beverage Manufacturing</v>
      </c>
      <c r="E114" s="21" t="s">
        <v>26</v>
      </c>
      <c r="F114" s="21" t="s">
        <v>18</v>
      </c>
      <c r="G114" s="21" t="str">
        <f t="shared" si="1"/>
        <v>GROWTH PHASE</v>
      </c>
      <c r="H114" s="21" t="s">
        <v>73</v>
      </c>
      <c r="I114" s="24">
        <f>IFERROR(__xludf.DUMMYFUNCTION("ROUND(
  MAX(
    MIN(
      (
        (VALUE(INDEX(SPLIT(K114,""-""),1)) + VALUE(INDEX(SPLIT(K114,""-""),2))) / 2
      ) *
      IFS(
        L114&gt;0.4, 1.6,
        L114&gt;0.1, 1.3,
        L114&gt;=-0.05, 1,
        L114&gt;=-0.2, 0.85,
        TRUE, 0.7
     "&amp;" ),
      VALUE(INDEX(SPLIT(K114,""-""),2))
    ),
    VALUE(INDEX(SPLIT(K114,""-""),1))
  )
)"),456.0)</f>
        <v>456</v>
      </c>
      <c r="J114" s="25">
        <f>I114*(VLOOKUP(C114,'Rev_Mapping Table'!$A$1:$C$12,3,0))</f>
        <v>253536000</v>
      </c>
      <c r="K114" s="24" t="s">
        <v>20</v>
      </c>
      <c r="L114" s="26">
        <v>0.17</v>
      </c>
      <c r="M114" s="27" t="str">
        <f>VLOOKUP(B114,Master_Mapper!$A$2:$C$628,3,0)</f>
        <v>Falfurrias Capital Partners</v>
      </c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</row>
    <row r="115">
      <c r="A115" s="13" t="b">
        <v>0</v>
      </c>
      <c r="B115" s="14" t="s">
        <v>240</v>
      </c>
      <c r="C115" s="15" t="s">
        <v>38</v>
      </c>
      <c r="D115" s="13" t="str">
        <f>vlookup(B115,Vert_Mapper!$A$2:$C$567,3,0)</f>
        <v>Financial Services - Asset Finance</v>
      </c>
      <c r="E115" s="13" t="s">
        <v>26</v>
      </c>
      <c r="F115" s="13" t="s">
        <v>18</v>
      </c>
      <c r="G115" s="13" t="str">
        <f t="shared" si="1"/>
        <v>DECLINING</v>
      </c>
      <c r="H115" s="13" t="s">
        <v>100</v>
      </c>
      <c r="I115" s="16">
        <f>IFERROR(__xludf.DUMMYFUNCTION("ROUND(
  MAX(
    MIN(
      (
        (VALUE(INDEX(SPLIT(K115,""-""),1)) + VALUE(INDEX(SPLIT(K115,""-""),2))) / 2
      ) *
      IFS(
        L115&gt;0.4, 1.6,
        L115&gt;0.1, 1.3,
        L115&gt;=-0.05, 1,
        L115&gt;=-0.2, 0.85,
        TRUE, 0.7
     "&amp;" ),
      VALUE(INDEX(SPLIT(K115,""-""),2))
    ),
    VALUE(INDEX(SPLIT(K115,""-""),1))
  )
)"),26.0)</f>
        <v>26</v>
      </c>
      <c r="J115" s="17">
        <f>I115*(VLOOKUP(C115,'Rev_Mapping Table'!$A$1:$C$12,3,0))</f>
        <v>23530000</v>
      </c>
      <c r="K115" s="16" t="s">
        <v>25</v>
      </c>
      <c r="L115" s="18">
        <v>-0.15</v>
      </c>
      <c r="M115" s="19" t="str">
        <f>VLOOKUP(B115,Master_Mapper!$A$2:$C$628,3,0)</f>
        <v>VentureSouth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</row>
    <row r="116">
      <c r="A116" s="21" t="b">
        <v>0</v>
      </c>
      <c r="B116" s="31" t="s">
        <v>241</v>
      </c>
      <c r="C116" s="23" t="s">
        <v>22</v>
      </c>
      <c r="D116" s="21" t="str">
        <f>vlookup(B116,Vert_Mapper!$A$2:$C$567,3,0)</f>
        <v>Software &amp; SaaS</v>
      </c>
      <c r="E116" s="21" t="s">
        <v>26</v>
      </c>
      <c r="F116" s="21" t="s">
        <v>18</v>
      </c>
      <c r="G116" s="21" t="str">
        <f t="shared" si="1"/>
        <v>GROWTH PHASE</v>
      </c>
      <c r="H116" s="21" t="s">
        <v>242</v>
      </c>
      <c r="I116" s="24">
        <f>IFERROR(__xludf.DUMMYFUNCTION("ROUND(
  MAX(
    MIN(
      (
        (VALUE(INDEX(SPLIT(K116,""-""),1)) + VALUE(INDEX(SPLIT(K116,""-""),2))) / 2
      ) *
      IFS(
        L116&gt;0.4, 1.6,
        L116&gt;0.1, 1.3,
        L116&gt;=-0.05, 1,
        L116&gt;=-0.2, 0.85,
        TRUE, 0.7
     "&amp;" ),
      VALUE(INDEX(SPLIT(K116,""-""),2))
    ),
    VALUE(INDEX(SPLIT(K116,""-""),1))
  )
)"),351.0)</f>
        <v>351</v>
      </c>
      <c r="J116" s="25">
        <f>I116*(VLOOKUP(C116,'Rev_Mapping Table'!$A$1:$C$12,3,0))</f>
        <v>197964000</v>
      </c>
      <c r="K116" s="24" t="s">
        <v>20</v>
      </c>
      <c r="L116" s="26">
        <v>0.06</v>
      </c>
      <c r="M116" s="27" t="str">
        <f>VLOOKUP(B116,Master_Mapper!$A$2:$C$628,3,0)</f>
        <v>Halifax Group</v>
      </c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</row>
    <row r="117">
      <c r="A117" s="13" t="b">
        <v>0</v>
      </c>
      <c r="B117" s="14" t="s">
        <v>243</v>
      </c>
      <c r="C117" s="15" t="s">
        <v>22</v>
      </c>
      <c r="D117" s="13" t="str">
        <f>vlookup(B117,Vert_Mapper!$A$2:$C$567,3,0)</f>
        <v>Legal Technology</v>
      </c>
      <c r="E117" s="13" t="s">
        <v>26</v>
      </c>
      <c r="F117" s="13" t="s">
        <v>18</v>
      </c>
      <c r="G117" s="13" t="str">
        <f t="shared" si="1"/>
        <v>FLAT TO NEUTRAL</v>
      </c>
      <c r="H117" s="13" t="s">
        <v>92</v>
      </c>
      <c r="I117" s="16">
        <f>IFERROR(__xludf.DUMMYFUNCTION("ROUND(
  MAX(
    MIN(
      (
        (VALUE(INDEX(SPLIT(K117,""-""),1)) + VALUE(INDEX(SPLIT(K117,""-""),2))) / 2
      ) *
      IFS(
        L117&gt;0.4, 1.6,
        L117&gt;0.1, 1.3,
        L117&gt;=-0.05, 1,
        L117&gt;=-0.2, 0.85,
        TRUE, 0.7
     "&amp;" ),
      VALUE(INDEX(SPLIT(K117,""-""),2))
    ),
    VALUE(INDEX(SPLIT(K117,""-""),1))
  )
)"),126.0)</f>
        <v>126</v>
      </c>
      <c r="J117" s="17">
        <f>I117*(VLOOKUP(C117,'Rev_Mapping Table'!$A$1:$C$12,3,0))</f>
        <v>71064000</v>
      </c>
      <c r="K117" s="16" t="s">
        <v>32</v>
      </c>
      <c r="L117" s="18">
        <v>0.0</v>
      </c>
      <c r="M117" s="19" t="str">
        <f>VLOOKUP(B117,Master_Mapper!$A$2:$C$628,3,0)</f>
        <v>VentureSouth</v>
      </c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</row>
    <row r="118">
      <c r="A118" s="21" t="b">
        <v>0</v>
      </c>
      <c r="B118" s="31" t="s">
        <v>244</v>
      </c>
      <c r="C118" s="23" t="s">
        <v>22</v>
      </c>
      <c r="D118" s="21" t="str">
        <f>vlookup(B118,Vert_Mapper!$A$2:$C$567,3,0)</f>
        <v>Legal Technology</v>
      </c>
      <c r="E118" s="21" t="s">
        <v>26</v>
      </c>
      <c r="F118" s="21" t="s">
        <v>18</v>
      </c>
      <c r="G118" s="21" t="str">
        <f t="shared" si="1"/>
        <v>DECLINING</v>
      </c>
      <c r="H118" s="21" t="s">
        <v>24</v>
      </c>
      <c r="I118" s="24">
        <f>IFERROR(__xludf.DUMMYFUNCTION("ROUND(
  MAX(
    MIN(
      (
        (VALUE(INDEX(SPLIT(K118,""-""),1)) + VALUE(INDEX(SPLIT(K118,""-""),2))) / 2
      ) *
      IFS(
        L118&gt;0.4, 1.6,
        L118&gt;0.1, 1.3,
        L118&gt;=-0.05, 1,
        L118&gt;=-0.2, 0.85,
        TRUE, 0.7
     "&amp;" ),
      VALUE(INDEX(SPLIT(K118,""-""),2))
    ),
    VALUE(INDEX(SPLIT(K118,""-""),1))
  )
)"),107.0)</f>
        <v>107</v>
      </c>
      <c r="J118" s="25">
        <f>I118*(VLOOKUP(C118,'Rev_Mapping Table'!$A$1:$C$12,3,0))</f>
        <v>60348000</v>
      </c>
      <c r="K118" s="24" t="s">
        <v>32</v>
      </c>
      <c r="L118" s="26">
        <v>-0.18</v>
      </c>
      <c r="M118" s="27" t="str">
        <f>VLOOKUP(B118,Master_Mapper!$A$2:$C$628,3,0)</f>
        <v>Cerity Partners</v>
      </c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</row>
    <row r="119">
      <c r="A119" s="13" t="b">
        <v>0</v>
      </c>
      <c r="B119" s="14" t="s">
        <v>245</v>
      </c>
      <c r="C119" s="15" t="s">
        <v>64</v>
      </c>
      <c r="D119" s="13" t="str">
        <f>vlookup(B119,Vert_Mapper!$A$2:$C$567,3,0)</f>
        <v>Building Materials &amp; Construction</v>
      </c>
      <c r="E119" s="13" t="s">
        <v>26</v>
      </c>
      <c r="F119" s="13" t="s">
        <v>18</v>
      </c>
      <c r="G119" s="13" t="str">
        <f t="shared" si="1"/>
        <v>GROWTH PHASE</v>
      </c>
      <c r="H119" s="13" t="s">
        <v>246</v>
      </c>
      <c r="I119" s="16">
        <f>IFERROR(__xludf.DUMMYFUNCTION("ROUND(
  MAX(
    MIN(
      (
        (VALUE(INDEX(SPLIT(K119,""-""),1)) + VALUE(INDEX(SPLIT(K119,""-""),2))) / 2
      ) *
      IFS(
        L119&gt;0.4, 1.6,
        L119&gt;0.1, 1.3,
        L119&gt;=-0.05, 1,
        L119&gt;=-0.2, 0.85,
        TRUE, 0.7
     "&amp;" ),
      VALUE(INDEX(SPLIT(K119,""-""),2))
    ),
    VALUE(INDEX(SPLIT(K119,""-""),1))
  )
)"),351.0)</f>
        <v>351</v>
      </c>
      <c r="J119" s="17">
        <f>I119*(VLOOKUP(C119,'Rev_Mapping Table'!$A$1:$C$12,3,0))</f>
        <v>173043000</v>
      </c>
      <c r="K119" s="16" t="s">
        <v>20</v>
      </c>
      <c r="L119" s="18">
        <v>0.1</v>
      </c>
      <c r="M119" s="19" t="str">
        <f>VLOOKUP(B119,Master_Mapper!$A$2:$C$628,3,0)</f>
        <v>Monomoy Capital Partners</v>
      </c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</row>
    <row r="120">
      <c r="A120" s="21" t="b">
        <v>0</v>
      </c>
      <c r="B120" s="31" t="s">
        <v>247</v>
      </c>
      <c r="C120" s="23" t="s">
        <v>72</v>
      </c>
      <c r="D120" s="21" t="str">
        <f>vlookup(B120,Vert_Mapper!$A$2:$C$567,3,0)</f>
        <v>Marketing &amp; Advertising</v>
      </c>
      <c r="E120" s="21" t="s">
        <v>26</v>
      </c>
      <c r="F120" s="21" t="s">
        <v>18</v>
      </c>
      <c r="G120" s="21" t="str">
        <f t="shared" si="1"/>
        <v>DECLINING</v>
      </c>
      <c r="H120" s="21" t="s">
        <v>248</v>
      </c>
      <c r="I120" s="24">
        <f>IFERROR(__xludf.DUMMYFUNCTION("ROUND(
  MAX(
    MIN(
      (
        (VALUE(INDEX(SPLIT(K120,""-""),1)) + VALUE(INDEX(SPLIT(K120,""-""),2))) / 2
      ) *
      IFS(
        L120&gt;0.4, 1.6,
        L120&gt;0.1, 1.3,
        L120&gt;=-0.05, 1,
        L120&gt;=-0.2, 0.85,
        TRUE, 0.7
     "&amp;" ),
      VALUE(INDEX(SPLIT(K120,""-""),2))
    ),
    VALUE(INDEX(SPLIT(K120,""-""),1))
  )
)"),638.0)</f>
        <v>638</v>
      </c>
      <c r="J120" s="25">
        <f>I120*(VLOOKUP(C120,'Rev_Mapping Table'!$A$1:$C$12,3,0))</f>
        <v>359832000</v>
      </c>
      <c r="K120" s="24" t="s">
        <v>54</v>
      </c>
      <c r="L120" s="26">
        <v>-0.09</v>
      </c>
      <c r="M120" s="27" t="str">
        <f>VLOOKUP(B120,Master_Mapper!$A$2:$C$628,3,0)</f>
        <v>SharpVue Capital</v>
      </c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</row>
    <row r="121">
      <c r="A121" s="13" t="b">
        <v>0</v>
      </c>
      <c r="B121" s="14" t="s">
        <v>249</v>
      </c>
      <c r="C121" s="15" t="s">
        <v>46</v>
      </c>
      <c r="D121" s="13" t="str">
        <f>vlookup(B121,Vert_Mapper!$A$2:$C$567,3,0)</f>
        <v>Clinical Research &amp; Services</v>
      </c>
      <c r="E121" s="13" t="s">
        <v>26</v>
      </c>
      <c r="F121" s="13" t="s">
        <v>18</v>
      </c>
      <c r="G121" s="13" t="str">
        <f t="shared" si="1"/>
        <v>GROWTH PHASE</v>
      </c>
      <c r="H121" s="13" t="s">
        <v>40</v>
      </c>
      <c r="I121" s="16">
        <f>IFERROR(__xludf.DUMMYFUNCTION("ROUND(
  MAX(
    MIN(
      (
        (VALUE(INDEX(SPLIT(K121,""-""),1)) + VALUE(INDEX(SPLIT(K121,""-""),2))) / 2
      ) *
      IFS(
        L121&gt;0.4, 1.6,
        L121&gt;0.1, 1.3,
        L121&gt;=-0.05, 1,
        L121&gt;=-0.2, 0.85,
        TRUE, 0.7
     "&amp;" ),
      VALUE(INDEX(SPLIT(K121,""-""),2))
    ),
    VALUE(INDEX(SPLIT(K121,""-""),1))
  )
)"),751.0)</f>
        <v>751</v>
      </c>
      <c r="J121" s="17">
        <f>I121*(VLOOKUP(C121,'Rev_Mapping Table'!$A$1:$C$12,3,0))</f>
        <v>417556000</v>
      </c>
      <c r="K121" s="16" t="s">
        <v>54</v>
      </c>
      <c r="L121" s="18">
        <v>0.06</v>
      </c>
      <c r="M121" s="19" t="str">
        <f>VLOOKUP(B121,Master_Mapper!$A$2:$C$628,3,0)</f>
        <v>QHP Capital</v>
      </c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</row>
    <row r="122">
      <c r="A122" s="21" t="b">
        <v>1</v>
      </c>
      <c r="B122" s="31" t="s">
        <v>250</v>
      </c>
      <c r="C122" s="23" t="s">
        <v>22</v>
      </c>
      <c r="D122" s="21" t="str">
        <f>vlookup(B122,Vert_Mapper!$A$2:$C$567,3,0)</f>
        <v>Security &amp; Cybersecurity</v>
      </c>
      <c r="E122" s="21" t="s">
        <v>26</v>
      </c>
      <c r="F122" s="21" t="s">
        <v>18</v>
      </c>
      <c r="G122" s="21" t="str">
        <f t="shared" si="1"/>
        <v>GROWTH PHASE</v>
      </c>
      <c r="H122" s="21" t="s">
        <v>251</v>
      </c>
      <c r="I122" s="24">
        <f>IFERROR(__xludf.DUMMYFUNCTION("ROUND(
  MAX(
    MIN(
      (
        (VALUE(INDEX(SPLIT(K122,""-""),1)) + VALUE(INDEX(SPLIT(K122,""-""),2))) / 2
      ) *
      IFS(
        L122&gt;0.4, 1.6,
        L122&gt;0.1, 1.3,
        L122&gt;=-0.05, 1,
        L122&gt;=-0.2, 0.85,
        TRUE, 0.7
     "&amp;" ),
      VALUE(INDEX(SPLIT(K122,""-""),2))
    ),
    VALUE(INDEX(SPLIT(K122,""-""),1))
  )
)"),6.0)</f>
        <v>6</v>
      </c>
      <c r="J122" s="25">
        <f>I122*(VLOOKUP(C122,'Rev_Mapping Table'!$A$1:$C$12,3,0))</f>
        <v>3384000</v>
      </c>
      <c r="K122" s="32">
        <v>45698.0</v>
      </c>
      <c r="L122" s="26">
        <v>0.1</v>
      </c>
      <c r="M122" s="27" t="str">
        <f>VLOOKUP(B122,Master_Mapper!$A$2:$C$628,3,0)</f>
        <v/>
      </c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</row>
    <row r="123">
      <c r="A123" s="13" t="b">
        <v>0</v>
      </c>
      <c r="B123" s="14" t="s">
        <v>252</v>
      </c>
      <c r="C123" s="15" t="s">
        <v>42</v>
      </c>
      <c r="D123" s="13" t="str">
        <f>vlookup(B123,Vert_Mapper!$A$2:$C$567,3,0)</f>
        <v>Hospitality &amp; Resorts</v>
      </c>
      <c r="E123" s="13" t="s">
        <v>26</v>
      </c>
      <c r="F123" s="13" t="s">
        <v>18</v>
      </c>
      <c r="G123" s="13" t="str">
        <f t="shared" si="1"/>
        <v>DECLINING</v>
      </c>
      <c r="H123" s="13" t="s">
        <v>253</v>
      </c>
      <c r="I123" s="16">
        <f>IFERROR(__xludf.DUMMYFUNCTION("ROUND(
  MAX(
    MIN(
      (
        (VALUE(INDEX(SPLIT(K123,""-""),1)) + VALUE(INDEX(SPLIT(K123,""-""),2))) / 2
      ) *
      IFS(
        L123&gt;0.4, 1.6,
        L123&gt;0.1, 1.3,
        L123&gt;=-0.05, 1,
        L123&gt;=-0.2, 0.85,
        TRUE, 0.7
     "&amp;" ),
      VALUE(INDEX(SPLIT(K123,""-""),2))
    ),
    VALUE(INDEX(SPLIT(K123,""-""),1))
  )
)"),107.0)</f>
        <v>107</v>
      </c>
      <c r="J123" s="17">
        <f>I123*(VLOOKUP(C123,'Rev_Mapping Table'!$A$1:$C$12,3,0))</f>
        <v>49220000</v>
      </c>
      <c r="K123" s="16" t="s">
        <v>32</v>
      </c>
      <c r="L123" s="18">
        <v>-0.15</v>
      </c>
      <c r="M123" s="19" t="str">
        <f>VLOOKUP(B123,Master_Mapper!$A$2:$C$628,3,0)</f>
        <v>Cock Island Capital</v>
      </c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</row>
    <row r="124">
      <c r="A124" s="21" t="b">
        <v>0</v>
      </c>
      <c r="B124" s="31" t="s">
        <v>254</v>
      </c>
      <c r="C124" s="23" t="s">
        <v>46</v>
      </c>
      <c r="D124" s="21" t="str">
        <f>vlookup(B124,Vert_Mapper!$A$2:$C$567,3,0)</f>
        <v>Healthcare Services</v>
      </c>
      <c r="E124" s="21" t="s">
        <v>26</v>
      </c>
      <c r="F124" s="21" t="s">
        <v>18</v>
      </c>
      <c r="G124" s="21" t="str">
        <f t="shared" si="1"/>
        <v>GROWTH PHASE</v>
      </c>
      <c r="H124" s="21" t="s">
        <v>155</v>
      </c>
      <c r="I124" s="24" t="str">
        <f>IFERROR(__xludf.DUMMYFUNCTION("ROUND(
  MAX(
    MIN(
      (
        (VALUE(INDEX(SPLIT(K124,""-""),1)) + VALUE(INDEX(SPLIT(K124,""-""),2))) / 2
      ) *
      IFS(
        L124&gt;0.4, 1.6,
        L124&gt;0.1, 1.3,
        L124&gt;=-0.05, 1,
        L124&gt;=-0.2, 0.85,
        TRUE, 0.7
     "&amp;" ),
      VALUE(INDEX(SPLIT(K124,""-""),2))
    ),
    VALUE(INDEX(SPLIT(K124,""-""),1))
  )
)"),"#REF!")</f>
        <v>#REF!</v>
      </c>
      <c r="J124" s="25" t="str">
        <f>I124*(VLOOKUP(C124,'Rev_Mapping Table'!$A$1:$C$12,3,0))</f>
        <v>#REF!</v>
      </c>
      <c r="K124" s="36">
        <v>10000.0</v>
      </c>
      <c r="L124" s="26">
        <v>0.15</v>
      </c>
      <c r="M124" s="27" t="str">
        <f>VLOOKUP(B124,Master_Mapper!$A$2:$C$628,3,0)</f>
        <v>Cerity Partners</v>
      </c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</row>
    <row r="125">
      <c r="A125" s="13" t="b">
        <v>0</v>
      </c>
      <c r="B125" s="14" t="s">
        <v>255</v>
      </c>
      <c r="C125" s="15" t="s">
        <v>22</v>
      </c>
      <c r="D125" s="13" t="str">
        <f>vlookup(B125,Vert_Mapper!$A$2:$C$567,3,0)</f>
        <v>Security &amp; Cybersecurity</v>
      </c>
      <c r="E125" s="13" t="s">
        <v>26</v>
      </c>
      <c r="F125" s="13" t="s">
        <v>18</v>
      </c>
      <c r="G125" s="13" t="str">
        <f t="shared" si="1"/>
        <v>DECLINING</v>
      </c>
      <c r="H125" s="13" t="s">
        <v>157</v>
      </c>
      <c r="I125" s="16">
        <f>IFERROR(__xludf.DUMMYFUNCTION("ROUND(
  MAX(
    MIN(
      (
        (VALUE(INDEX(SPLIT(K125,""-""),1)) + VALUE(INDEX(SPLIT(K125,""-""),2))) / 2
      ) *
      IFS(
        L125&gt;0.4, 1.6,
        L125&gt;0.1, 1.3,
        L125&gt;=-0.05, 1,
        L125&gt;=-0.2, 0.85,
        TRUE, 0.7
     "&amp;" ),
      VALUE(INDEX(SPLIT(K125,""-""),2))
    ),
    VALUE(INDEX(SPLIT(K125,""-""),1))
  )
)"),126.0)</f>
        <v>126</v>
      </c>
      <c r="J125" s="17">
        <f>I125*(VLOOKUP(C125,'Rev_Mapping Table'!$A$1:$C$12,3,0))</f>
        <v>71064000</v>
      </c>
      <c r="K125" s="16" t="s">
        <v>32</v>
      </c>
      <c r="L125" s="18">
        <v>-0.04</v>
      </c>
      <c r="M125" s="19" t="str">
        <f>VLOOKUP(B125,Master_Mapper!$A$2:$C$628,3,0)</f>
        <v>Cerity Partners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>
      <c r="A126" s="21" t="b">
        <v>0</v>
      </c>
      <c r="B126" s="31" t="s">
        <v>256</v>
      </c>
      <c r="C126" s="23" t="s">
        <v>46</v>
      </c>
      <c r="D126" s="21" t="str">
        <f>vlookup(B126,Vert_Mapper!$A$2:$C$567,3,0)</f>
        <v>Biotechnology &amp; Pharmaceuticals</v>
      </c>
      <c r="E126" s="21" t="s">
        <v>26</v>
      </c>
      <c r="F126" s="21" t="s">
        <v>18</v>
      </c>
      <c r="G126" s="21" t="str">
        <f t="shared" si="1"/>
        <v>HYPERGROWTH</v>
      </c>
      <c r="H126" s="21" t="s">
        <v>131</v>
      </c>
      <c r="I126" s="24" t="str">
        <f>IFERROR(__xludf.DUMMYFUNCTION("ROUND(
  MAX(
    MIN(
      (
        (VALUE(INDEX(SPLIT(K126,""-""),1)) + VALUE(INDEX(SPLIT(K126,""-""),2))) / 2
      ) *
      IFS(
        L126&gt;0.4, 1.6,
        L126&gt;0.1, 1.3,
        L126&gt;=-0.05, 1,
        L126&gt;=-0.2, 0.85,
        TRUE, 0.7
     "&amp;" ),
      VALUE(INDEX(SPLIT(K126,""-""),2))
    ),
    VALUE(INDEX(SPLIT(K126,""-""),1))
  )
)"),"#VALUE!")</f>
        <v>#VALUE!</v>
      </c>
      <c r="J126" s="25" t="str">
        <f>I126*(VLOOKUP(C126,'Rev_Mapping Table'!$A$1:$C$12,3,0))</f>
        <v>#VALUE!</v>
      </c>
      <c r="K126" s="35" t="s">
        <v>131</v>
      </c>
      <c r="L126" s="35" t="s">
        <v>131</v>
      </c>
      <c r="M126" s="27" t="str">
        <f>VLOOKUP(B126,Master_Mapper!$A$2:$C$628,3,0)</f>
        <v>NovaQuest Capital Mgmt</v>
      </c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</row>
    <row r="127">
      <c r="A127" s="13" t="b">
        <v>0</v>
      </c>
      <c r="B127" s="14" t="s">
        <v>257</v>
      </c>
      <c r="C127" s="15" t="s">
        <v>56</v>
      </c>
      <c r="D127" s="13" t="str">
        <f>vlookup(B127,Vert_Mapper!$A$2:$C$567,3,0)</f>
        <v>Consumer Products</v>
      </c>
      <c r="E127" s="13" t="s">
        <v>26</v>
      </c>
      <c r="F127" s="13" t="s">
        <v>18</v>
      </c>
      <c r="G127" s="13" t="str">
        <f t="shared" si="1"/>
        <v>GROWTH PHASE</v>
      </c>
      <c r="H127" s="13" t="s">
        <v>59</v>
      </c>
      <c r="I127" s="16">
        <f>IFERROR(__xludf.DUMMYFUNCTION("ROUND(
  MAX(
    MIN(
      (
        (VALUE(INDEX(SPLIT(K127,""-""),1)) + VALUE(INDEX(SPLIT(K127,""-""),2))) / 2
      ) *
      IFS(
        L127&gt;0.4, 1.6,
        L127&gt;0.1, 1.3,
        L127&gt;=-0.05, 1,
        L127&gt;=-0.2, 0.85,
        TRUE, 0.7
     "&amp;" ),
      VALUE(INDEX(SPLIT(K127,""-""),2))
    ),
    VALUE(INDEX(SPLIT(K127,""-""),1))
  )
)"),40.0)</f>
        <v>40</v>
      </c>
      <c r="J127" s="17">
        <f>I127*(VLOOKUP(C127,'Rev_Mapping Table'!$A$1:$C$12,3,0))</f>
        <v>20480000</v>
      </c>
      <c r="K127" s="16" t="s">
        <v>25</v>
      </c>
      <c r="L127" s="18">
        <v>0.17</v>
      </c>
      <c r="M127" s="19" t="str">
        <f>VLOOKUP(B127,Master_Mapper!$A$2:$C$628,3,0)</f>
        <v>Cock Island Capital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</row>
    <row r="128">
      <c r="A128" s="21" t="b">
        <v>0</v>
      </c>
      <c r="B128" s="31" t="s">
        <v>258</v>
      </c>
      <c r="C128" s="23" t="s">
        <v>217</v>
      </c>
      <c r="D128" s="21" t="str">
        <f>vlookup(B128,Vert_Mapper!$A$2:$C$567,3,0)</f>
        <v>Renewable Energy</v>
      </c>
      <c r="E128" s="21" t="s">
        <v>26</v>
      </c>
      <c r="F128" s="21" t="s">
        <v>18</v>
      </c>
      <c r="G128" s="21" t="str">
        <f t="shared" si="1"/>
        <v>GROWTH PHASE</v>
      </c>
      <c r="H128" s="21" t="s">
        <v>259</v>
      </c>
      <c r="I128" s="24">
        <f>IFERROR(__xludf.DUMMYFUNCTION("ROUND(
  MAX(
    MIN(
      (
        (VALUE(INDEX(SPLIT(K128,""-""),1)) + VALUE(INDEX(SPLIT(K128,""-""),2))) / 2
      ) *
      IFS(
        L128&gt;0.4, 1.6,
        L128&gt;0.1, 1.3,
        L128&gt;=-0.05, 1,
        L128&gt;=-0.2, 0.85,
        TRUE, 0.7
     "&amp;" ),
      VALUE(INDEX(SPLIT(K128,""-""),2))
    ),
    VALUE(INDEX(SPLIT(K128,""-""),1))
  )
)"),163.0)</f>
        <v>163</v>
      </c>
      <c r="J128" s="25">
        <f>I128*(VLOOKUP(C128,'Rev_Mapping Table'!$A$1:$C$12,3,0))</f>
        <v>493890000</v>
      </c>
      <c r="K128" s="24" t="s">
        <v>32</v>
      </c>
      <c r="L128" s="26">
        <v>0.17</v>
      </c>
      <c r="M128" s="27" t="str">
        <f>VLOOKUP(B128,Master_Mapper!$A$2:$C$628,3,0)</f>
        <v>Route 2 Capital Partners</v>
      </c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</row>
    <row r="129">
      <c r="A129" s="13" t="b">
        <v>0</v>
      </c>
      <c r="B129" s="14" t="s">
        <v>260</v>
      </c>
      <c r="C129" s="15" t="s">
        <v>111</v>
      </c>
      <c r="D129" s="13" t="str">
        <f>vlookup(B129,Vert_Mapper!$A$2:$C$567,3,0)</f>
        <v>Food &amp; Beverage Manufacturing</v>
      </c>
      <c r="E129" s="13" t="s">
        <v>65</v>
      </c>
      <c r="F129" s="13" t="s">
        <v>30</v>
      </c>
      <c r="G129" s="13" t="str">
        <f t="shared" si="1"/>
        <v>GROWTH PHASE</v>
      </c>
      <c r="H129" s="13" t="s">
        <v>167</v>
      </c>
      <c r="I129" s="16">
        <f>IFERROR(__xludf.DUMMYFUNCTION("ROUND(
  MAX(
    MIN(
      (
        (VALUE(INDEX(SPLIT(K129,""-""),1)) + VALUE(INDEX(SPLIT(K129,""-""),2))) / 2
      ) *
      IFS(
        L129&gt;0.4, 1.6,
        L129&gt;0.1, 1.3,
        L129&gt;=-0.05, 1,
        L129&gt;=-0.2, 0.85,
        TRUE, 0.7
     "&amp;" ),
      VALUE(INDEX(SPLIT(K129,""-""),2))
    ),
    VALUE(INDEX(SPLIT(K129,""-""),1))
  )
)"),40.0)</f>
        <v>40</v>
      </c>
      <c r="J129" s="17">
        <f>I129*(VLOOKUP(C129,'Rev_Mapping Table'!$A$1:$C$12,3,0))</f>
        <v>22240000</v>
      </c>
      <c r="K129" s="16" t="s">
        <v>25</v>
      </c>
      <c r="L129" s="18">
        <v>0.17</v>
      </c>
      <c r="M129" s="19" t="str">
        <f>VLOOKUP(B129,Master_Mapper!$A$2:$C$628,3,0)</f>
        <v>Cerity Partners</v>
      </c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>
      <c r="A130" s="21" t="b">
        <v>0</v>
      </c>
      <c r="B130" s="31" t="s">
        <v>261</v>
      </c>
      <c r="C130" s="23" t="s">
        <v>22</v>
      </c>
      <c r="D130" s="21" t="str">
        <f>vlookup(B130,Vert_Mapper!$A$2:$C$567,3,0)</f>
        <v>Legal Technology</v>
      </c>
      <c r="E130" s="21" t="s">
        <v>26</v>
      </c>
      <c r="F130" s="21" t="s">
        <v>18</v>
      </c>
      <c r="G130" s="21" t="str">
        <f t="shared" si="1"/>
        <v>HYPERGROWTH</v>
      </c>
      <c r="H130" s="21" t="s">
        <v>131</v>
      </c>
      <c r="I130" s="24" t="str">
        <f>IFERROR(__xludf.DUMMYFUNCTION("ROUND(
  MAX(
    MIN(
      (
        (VALUE(INDEX(SPLIT(K130,""-""),1)) + VALUE(INDEX(SPLIT(K130,""-""),2))) / 2
      ) *
      IFS(
        L130&gt;0.4, 1.6,
        L130&gt;0.1, 1.3,
        L130&gt;=-0.05, 1,
        L130&gt;=-0.2, 0.85,
        TRUE, 0.7
     "&amp;" ),
      VALUE(INDEX(SPLIT(K130,""-""),2))
    ),
    VALUE(INDEX(SPLIT(K130,""-""),1))
  )
)"),"#VALUE!")</f>
        <v>#VALUE!</v>
      </c>
      <c r="J130" s="25" t="str">
        <f>I130*(VLOOKUP(C130,'Rev_Mapping Table'!$A$1:$C$12,3,0))</f>
        <v>#VALUE!</v>
      </c>
      <c r="K130" s="35" t="s">
        <v>131</v>
      </c>
      <c r="L130" s="35" t="s">
        <v>131</v>
      </c>
      <c r="M130" s="27" t="str">
        <f>VLOOKUP(B130,Master_Mapper!$A$2:$C$628,3,0)</f>
        <v>Halifax Group</v>
      </c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</row>
    <row r="131">
      <c r="A131" s="13" t="b">
        <v>0</v>
      </c>
      <c r="B131" s="14" t="s">
        <v>262</v>
      </c>
      <c r="C131" s="15" t="s">
        <v>38</v>
      </c>
      <c r="D131" s="13" t="str">
        <f>vlookup(B131,Vert_Mapper!$A$2:$C$567,3,0)</f>
        <v>Financial Technology &amp; Investment Services</v>
      </c>
      <c r="E131" s="13" t="s">
        <v>26</v>
      </c>
      <c r="F131" s="13" t="s">
        <v>18</v>
      </c>
      <c r="G131" s="13" t="str">
        <f t="shared" si="1"/>
        <v>DECLINING</v>
      </c>
      <c r="H131" s="13" t="s">
        <v>61</v>
      </c>
      <c r="I131" s="16">
        <f>IFERROR(__xludf.DUMMYFUNCTION("ROUND(
  MAX(
    MIN(
      (
        (VALUE(INDEX(SPLIT(K131,""-""),1)) + VALUE(INDEX(SPLIT(K131,""-""),2))) / 2
      ) *
      IFS(
        L131&gt;0.4, 1.6,
        L131&gt;0.1, 1.3,
        L131&gt;=-0.05, 1,
        L131&gt;=-0.2, 0.85,
        TRUE, 0.7
     "&amp;" ),
      VALUE(INDEX(SPLIT(K131,""-""),2))
    ),
    VALUE(INDEX(SPLIT(K131,""-""),1))
  )
)"),351.0)</f>
        <v>351</v>
      </c>
      <c r="J131" s="17">
        <f>I131*(VLOOKUP(C131,'Rev_Mapping Table'!$A$1:$C$12,3,0))</f>
        <v>317655000</v>
      </c>
      <c r="K131" s="16" t="s">
        <v>20</v>
      </c>
      <c r="L131" s="18">
        <v>-0.02</v>
      </c>
      <c r="M131" s="19" t="str">
        <f>VLOOKUP(B131,Master_Mapper!$A$2:$C$628,3,0)</f>
        <v>Falfurrias Capital Partners</v>
      </c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</row>
    <row r="132">
      <c r="A132" s="21" t="b">
        <v>0</v>
      </c>
      <c r="B132" s="31" t="s">
        <v>263</v>
      </c>
      <c r="C132" s="23" t="s">
        <v>22</v>
      </c>
      <c r="D132" s="21" t="str">
        <f>vlookup(B132,Vert_Mapper!$A$2:$C$567,3,0)</f>
        <v>Human Resources Technology</v>
      </c>
      <c r="E132" s="21" t="s">
        <v>26</v>
      </c>
      <c r="F132" s="21" t="s">
        <v>18</v>
      </c>
      <c r="G132" s="21" t="str">
        <f t="shared" si="1"/>
        <v>ACCELERATED GROWTH</v>
      </c>
      <c r="H132" s="21" t="s">
        <v>24</v>
      </c>
      <c r="I132" s="24">
        <f>IFERROR(__xludf.DUMMYFUNCTION("ROUND(
  MAX(
    MIN(
      (
        (VALUE(INDEX(SPLIT(K132,""-""),1)) + VALUE(INDEX(SPLIT(K132,""-""),2))) / 2
      ) *
      IFS(
        L132&gt;0.4, 1.6,
        L132&gt;0.1, 1.3,
        L132&gt;=-0.05, 1,
        L132&gt;=-0.2, 0.85,
        TRUE, 0.7
     "&amp;" ),
      VALUE(INDEX(SPLIT(K132,""-""),2))
    ),
    VALUE(INDEX(SPLIT(K132,""-""),1))
  )
)"),976.0)</f>
        <v>976</v>
      </c>
      <c r="J132" s="25">
        <f>I132*(VLOOKUP(C132,'Rev_Mapping Table'!$A$1:$C$12,3,0))</f>
        <v>550464000</v>
      </c>
      <c r="K132" s="24" t="s">
        <v>54</v>
      </c>
      <c r="L132" s="26">
        <v>0.26</v>
      </c>
      <c r="M132" s="27" t="str">
        <f>VLOOKUP(B132,Master_Mapper!$A$2:$C$628,3,0)</f>
        <v>Vibora Capital</v>
      </c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</row>
    <row r="133">
      <c r="A133" s="13" t="b">
        <v>0</v>
      </c>
      <c r="B133" s="14" t="s">
        <v>264</v>
      </c>
      <c r="C133" s="15" t="s">
        <v>42</v>
      </c>
      <c r="D133" s="13" t="str">
        <f>vlookup(B133,Vert_Mapper!$A$2:$C$567,3,0)</f>
        <v>Real Estate Technology</v>
      </c>
      <c r="E133" s="13" t="s">
        <v>26</v>
      </c>
      <c r="F133" s="13" t="s">
        <v>18</v>
      </c>
      <c r="G133" s="13" t="str">
        <f t="shared" si="1"/>
        <v>FLAT TO NEUTRAL</v>
      </c>
      <c r="H133" s="13" t="s">
        <v>119</v>
      </c>
      <c r="I133" s="16">
        <f>IFERROR(__xludf.DUMMYFUNCTION("ROUND(
  MAX(
    MIN(
      (
        (VALUE(INDEX(SPLIT(K133,""-""),1)) + VALUE(INDEX(SPLIT(K133,""-""),2))) / 2
      ) *
      IFS(
        L133&gt;0.4, 1.6,
        L133&gt;0.1, 1.3,
        L133&gt;=-0.05, 1,
        L133&gt;=-0.2, 0.85,
        TRUE, 0.7
     "&amp;" ),
      VALUE(INDEX(SPLIT(K133,""-""),2))
    ),
    VALUE(INDEX(SPLIT(K133,""-""),1))
  )
)"),126.0)</f>
        <v>126</v>
      </c>
      <c r="J133" s="17">
        <f>I133*(VLOOKUP(C133,'Rev_Mapping Table'!$A$1:$C$12,3,0))</f>
        <v>57960000</v>
      </c>
      <c r="K133" s="16" t="s">
        <v>32</v>
      </c>
      <c r="L133" s="18">
        <v>0.03</v>
      </c>
      <c r="M133" s="19" t="str">
        <f>VLOOKUP(B133,Master_Mapper!$A$2:$C$628,3,0)</f>
        <v/>
      </c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</row>
    <row r="134">
      <c r="A134" s="21" t="b">
        <v>0</v>
      </c>
      <c r="B134" s="31" t="s">
        <v>265</v>
      </c>
      <c r="C134" s="23" t="s">
        <v>56</v>
      </c>
      <c r="D134" s="21" t="str">
        <f>vlookup(B134,Vert_Mapper!$A$2:$C$567,3,0)</f>
        <v>Restaurants &amp; Food Services</v>
      </c>
      <c r="E134" s="21" t="s">
        <v>175</v>
      </c>
      <c r="F134" s="21" t="s">
        <v>34</v>
      </c>
      <c r="G134" s="21" t="str">
        <f t="shared" si="1"/>
        <v>GROWTH PHASE</v>
      </c>
      <c r="H134" s="21" t="s">
        <v>224</v>
      </c>
      <c r="I134" s="24">
        <f>IFERROR(__xludf.DUMMYFUNCTION("ROUND(
  MAX(
    MIN(
      (
        (VALUE(INDEX(SPLIT(K134,""-""),1)) + VALUE(INDEX(SPLIT(K134,""-""),2))) / 2
      ) *
      IFS(
        L134&gt;0.4, 1.6,
        L134&gt;0.1, 1.3,
        L134&gt;=-0.05, 1,
        L134&gt;=-0.2, 0.85,
        TRUE, 0.7
     "&amp;" ),
      VALUE(INDEX(SPLIT(K134,""-""),2))
    ),
    VALUE(INDEX(SPLIT(K134,""-""),1))
  )
)"),6.0)</f>
        <v>6</v>
      </c>
      <c r="J134" s="25">
        <f>I134*(VLOOKUP(C134,'Rev_Mapping Table'!$A$1:$C$12,3,0))</f>
        <v>3072000</v>
      </c>
      <c r="K134" s="32">
        <v>45698.0</v>
      </c>
      <c r="L134" s="26">
        <v>0.04</v>
      </c>
      <c r="M134" s="27" t="str">
        <f>VLOOKUP(B134,Master_Mapper!$A$2:$C$628,3,0)</f>
        <v>Hargett Hunter</v>
      </c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</row>
    <row r="135">
      <c r="A135" s="13" t="b">
        <v>1</v>
      </c>
      <c r="B135" s="14" t="s">
        <v>266</v>
      </c>
      <c r="C135" s="15" t="s">
        <v>64</v>
      </c>
      <c r="D135" s="13" t="str">
        <f>vlookup(B135,Vert_Mapper!$A$2:$C$567,3,0)</f>
        <v>Environmental &amp; Sustainability</v>
      </c>
      <c r="E135" s="13" t="s">
        <v>26</v>
      </c>
      <c r="F135" s="13" t="s">
        <v>18</v>
      </c>
      <c r="G135" s="13" t="str">
        <f t="shared" si="1"/>
        <v>ACCELERATED GROWTH</v>
      </c>
      <c r="H135" s="13" t="s">
        <v>267</v>
      </c>
      <c r="I135" s="16">
        <f>IFERROR(__xludf.DUMMYFUNCTION("ROUND(
  MAX(
    MIN(
      (
        (VALUE(INDEX(SPLIT(K135,""-""),1)) + VALUE(INDEX(SPLIT(K135,""-""),2))) / 2
      ) *
      IFS(
        L135&gt;0.4, 1.6,
        L135&gt;0.1, 1.3,
        L135&gt;=-0.05, 1,
        L135&gt;=-0.2, 0.85,
        TRUE, 0.7
     "&amp;" ),
      VALUE(INDEX(SPLIT(K135,""-""),2))
    ),
    VALUE(INDEX(SPLIT(K135,""-""),1))
  )
)"),163.0)</f>
        <v>163</v>
      </c>
      <c r="J135" s="17">
        <f>I135*(VLOOKUP(C135,'Rev_Mapping Table'!$A$1:$C$12,3,0))</f>
        <v>80359000</v>
      </c>
      <c r="K135" s="16" t="s">
        <v>32</v>
      </c>
      <c r="L135" s="18">
        <v>0.32</v>
      </c>
      <c r="M135" s="19" t="str">
        <f>VLOOKUP(B135,Master_Mapper!$A$2:$C$628,3,0)</f>
        <v>Cerity Partners</v>
      </c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</row>
    <row r="136">
      <c r="A136" s="21" t="b">
        <v>0</v>
      </c>
      <c r="B136" s="31" t="s">
        <v>268</v>
      </c>
      <c r="C136" s="23" t="s">
        <v>72</v>
      </c>
      <c r="D136" s="21" t="str">
        <f>vlookup(B136,Vert_Mapper!$A$2:$C$567,3,0)</f>
        <v>Marketing &amp; Advertising</v>
      </c>
      <c r="E136" s="21" t="s">
        <v>26</v>
      </c>
      <c r="F136" s="21" t="s">
        <v>18</v>
      </c>
      <c r="G136" s="21" t="str">
        <f t="shared" si="1"/>
        <v>DECLINING</v>
      </c>
      <c r="H136" s="21" t="s">
        <v>269</v>
      </c>
      <c r="I136" s="24">
        <f>IFERROR(__xludf.DUMMYFUNCTION("ROUND(
  MAX(
    MIN(
      (
        (VALUE(INDEX(SPLIT(K136,""-""),1)) + VALUE(INDEX(SPLIT(K136,""-""),2))) / 2
      ) *
      IFS(
        L136&gt;0.4, 1.6,
        L136&gt;0.1, 1.3,
        L136&gt;=-0.05, 1,
        L136&gt;=-0.2, 0.85,
        TRUE, 0.7
     "&amp;" ),
      VALUE(INDEX(SPLIT(K136,""-""),2))
    ),
    VALUE(INDEX(SPLIT(K136,""-""),1))
  )
)"),26.0)</f>
        <v>26</v>
      </c>
      <c r="J136" s="25">
        <f>I136*(VLOOKUP(C136,'Rev_Mapping Table'!$A$1:$C$12,3,0))</f>
        <v>14664000</v>
      </c>
      <c r="K136" s="24" t="s">
        <v>25</v>
      </c>
      <c r="L136" s="26">
        <v>-0.1</v>
      </c>
      <c r="M136" s="27" t="str">
        <f>VLOOKUP(B136,Master_Mapper!$A$2:$C$628,3,0)</f>
        <v>Cerity Partners</v>
      </c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</row>
    <row r="137">
      <c r="A137" s="13" t="b">
        <v>0</v>
      </c>
      <c r="B137" s="14" t="s">
        <v>270</v>
      </c>
      <c r="C137" s="15" t="s">
        <v>46</v>
      </c>
      <c r="D137" s="13" t="str">
        <f>vlookup(B137,Vert_Mapper!$A$2:$C$567,3,0)</f>
        <v>Healthcare Technology &amp; Analytics</v>
      </c>
      <c r="E137" s="13" t="s">
        <v>26</v>
      </c>
      <c r="F137" s="13" t="s">
        <v>18</v>
      </c>
      <c r="G137" s="13" t="str">
        <f t="shared" si="1"/>
        <v>DECLINING</v>
      </c>
      <c r="H137" s="13" t="s">
        <v>271</v>
      </c>
      <c r="I137" s="16">
        <f>IFERROR(__xludf.DUMMYFUNCTION("ROUND(
  MAX(
    MIN(
      (
        (VALUE(INDEX(SPLIT(K137,""-""),1)) + VALUE(INDEX(SPLIT(K137,""-""),2))) / 2
      ) *
      IFS(
        L137&gt;0.4, 1.6,
        L137&gt;0.1, 1.3,
        L137&gt;=-0.05, 1,
        L137&gt;=-0.2, 0.85,
        TRUE, 0.7
     "&amp;" ),
      VALUE(INDEX(SPLIT(K137,""-""),2))
    ),
    VALUE(INDEX(SPLIT(K137,""-""),1))
  )
)"),126.0)</f>
        <v>126</v>
      </c>
      <c r="J137" s="17">
        <f>I137*(VLOOKUP(C137,'Rev_Mapping Table'!$A$1:$C$12,3,0))</f>
        <v>70056000</v>
      </c>
      <c r="K137" s="16" t="s">
        <v>32</v>
      </c>
      <c r="L137" s="18">
        <v>-0.04</v>
      </c>
      <c r="M137" s="19" t="str">
        <f>VLOOKUP(B137,Master_Mapper!$A$2:$C$628,3,0)</f>
        <v>Pamlico Capital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</row>
    <row r="138">
      <c r="A138" s="21" t="b">
        <v>1</v>
      </c>
      <c r="B138" s="31" t="s">
        <v>272</v>
      </c>
      <c r="C138" s="23" t="s">
        <v>46</v>
      </c>
      <c r="D138" s="21" t="str">
        <f>vlookup(B138,Vert_Mapper!$A$2:$C$567,3,0)</f>
        <v>Clinical Research &amp; Services</v>
      </c>
      <c r="E138" s="21" t="s">
        <v>26</v>
      </c>
      <c r="F138" s="21" t="s">
        <v>18</v>
      </c>
      <c r="G138" s="21" t="str">
        <f t="shared" si="1"/>
        <v>GROWTH PHASE</v>
      </c>
      <c r="H138" s="21" t="s">
        <v>273</v>
      </c>
      <c r="I138" s="24">
        <f>IFERROR(__xludf.DUMMYFUNCTION("ROUND(
  MAX(
    MIN(
      (
        (VALUE(INDEX(SPLIT(K138,""-""),1)) + VALUE(INDEX(SPLIT(K138,""-""),2))) / 2
      ) *
      IFS(
        L138&gt;0.4, 1.6,
        L138&gt;0.1, 1.3,
        L138&gt;=-0.05, 1,
        L138&gt;=-0.2, 0.85,
        TRUE, 0.7
     "&amp;" ),
      VALUE(INDEX(SPLIT(K138,""-""),2))
    ),
    VALUE(INDEX(SPLIT(K138,""-""),1))
  )
)"),163.0)</f>
        <v>163</v>
      </c>
      <c r="J138" s="25">
        <f>I138*(VLOOKUP(C138,'Rev_Mapping Table'!$A$1:$C$12,3,0))</f>
        <v>90628000</v>
      </c>
      <c r="K138" s="24" t="s">
        <v>32</v>
      </c>
      <c r="L138" s="26">
        <v>0.19</v>
      </c>
      <c r="M138" s="27" t="str">
        <f>VLOOKUP(B138,Master_Mapper!$A$2:$C$628,3,0)</f>
        <v>QHP Capital</v>
      </c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</row>
    <row r="139">
      <c r="A139" s="13" t="b">
        <v>0</v>
      </c>
      <c r="B139" s="14" t="s">
        <v>274</v>
      </c>
      <c r="C139" s="15" t="s">
        <v>38</v>
      </c>
      <c r="D139" s="13" t="str">
        <f>vlookup(B139,Vert_Mapper!$A$2:$C$567,3,0)</f>
        <v>Banking &amp; Financial Institutions</v>
      </c>
      <c r="E139" s="13" t="s">
        <v>79</v>
      </c>
      <c r="F139" s="13" t="s">
        <v>18</v>
      </c>
      <c r="G139" s="13" t="str">
        <f t="shared" si="1"/>
        <v>HYPERGROWTH</v>
      </c>
      <c r="H139" s="13" t="s">
        <v>131</v>
      </c>
      <c r="I139" s="16" t="str">
        <f>IFERROR(__xludf.DUMMYFUNCTION("ROUND(
  MAX(
    MIN(
      (
        (VALUE(INDEX(SPLIT(K139,""-""),1)) + VALUE(INDEX(SPLIT(K139,""-""),2))) / 2
      ) *
      IFS(
        L139&gt;0.4, 1.6,
        L139&gt;0.1, 1.3,
        L139&gt;=-0.05, 1,
        L139&gt;=-0.2, 0.85,
        TRUE, 0.7
     "&amp;" ),
      VALUE(INDEX(SPLIT(K139,""-""),2))
    ),
    VALUE(INDEX(SPLIT(K139,""-""),1))
  )
)"),"#VALUE!")</f>
        <v>#VALUE!</v>
      </c>
      <c r="J139" s="17" t="str">
        <f>I139*(VLOOKUP(C139,'Rev_Mapping Table'!$A$1:$C$12,3,0))</f>
        <v>#VALUE!</v>
      </c>
      <c r="K139" s="33" t="s">
        <v>131</v>
      </c>
      <c r="L139" s="33" t="s">
        <v>131</v>
      </c>
      <c r="M139" s="19" t="str">
        <f>VLOOKUP(B139,Master_Mapper!$A$2:$C$628,3,0)</f>
        <v>Harbor Island Equity Partners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</row>
    <row r="140">
      <c r="A140" s="21" t="b">
        <v>0</v>
      </c>
      <c r="B140" s="31" t="s">
        <v>275</v>
      </c>
      <c r="C140" s="23" t="s">
        <v>46</v>
      </c>
      <c r="D140" s="21" t="str">
        <f>vlookup(B140,Vert_Mapper!$A$2:$C$567,3,0)</f>
        <v>Biotechnology &amp; Pharmaceuticals</v>
      </c>
      <c r="E140" s="21" t="s">
        <v>26</v>
      </c>
      <c r="F140" s="21" t="s">
        <v>18</v>
      </c>
      <c r="G140" s="21" t="str">
        <f t="shared" si="1"/>
        <v>FLAT TO NEUTRAL</v>
      </c>
      <c r="H140" s="21" t="s">
        <v>276</v>
      </c>
      <c r="I140" s="24">
        <f>IFERROR(__xludf.DUMMYFUNCTION("ROUND(
  MAX(
    MIN(
      (
        (VALUE(INDEX(SPLIT(K140,""-""),1)) + VALUE(INDEX(SPLIT(K140,""-""),2))) / 2
      ) *
      IFS(
        L140&gt;0.4, 1.6,
        L140&gt;0.1, 1.3,
        L140&gt;=-0.05, 1,
        L140&gt;=-0.2, 0.85,
        TRUE, 0.7
     "&amp;" ),
      VALUE(INDEX(SPLIT(K140,""-""),2))
    ),
    VALUE(INDEX(SPLIT(K140,""-""),1))
  )
)"),3001.0)</f>
        <v>3001</v>
      </c>
      <c r="J140" s="25">
        <f>I140*(VLOOKUP(C140,'Rev_Mapping Table'!$A$1:$C$12,3,0))</f>
        <v>1668556000</v>
      </c>
      <c r="K140" s="24" t="s">
        <v>277</v>
      </c>
      <c r="L140" s="26">
        <v>0.03</v>
      </c>
      <c r="M140" s="27" t="str">
        <f>VLOOKUP(B140,Master_Mapper!$A$2:$C$628,3,0)</f>
        <v>Cerity Partners</v>
      </c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</row>
    <row r="141">
      <c r="A141" s="13" t="b">
        <v>0</v>
      </c>
      <c r="B141" s="14" t="s">
        <v>278</v>
      </c>
      <c r="C141" s="15" t="s">
        <v>46</v>
      </c>
      <c r="D141" s="13" t="str">
        <f>vlookup(B141,Vert_Mapper!$A$2:$C$567,3,0)</f>
        <v>Healthcare Services</v>
      </c>
      <c r="E141" s="13" t="s">
        <v>26</v>
      </c>
      <c r="F141" s="13" t="s">
        <v>18</v>
      </c>
      <c r="G141" s="13" t="str">
        <f t="shared" si="1"/>
        <v>GROWTH PHASE</v>
      </c>
      <c r="H141" s="13" t="s">
        <v>53</v>
      </c>
      <c r="I141" s="16">
        <f>IFERROR(__xludf.DUMMYFUNCTION("ROUND(
  MAX(
    MIN(
      (
        (VALUE(INDEX(SPLIT(K141,""-""),1)) + VALUE(INDEX(SPLIT(K141,""-""),2))) / 2
      ) *
      IFS(
        L141&gt;0.4, 1.6,
        L141&gt;0.1, 1.3,
        L141&gt;=-0.05, 1,
        L141&gt;=-0.2, 0.85,
        TRUE, 0.7
     "&amp;" ),
      VALUE(INDEX(SPLIT(K141,""-""),2))
    ),
    VALUE(INDEX(SPLIT(K141,""-""),1))
  )
)"),126.0)</f>
        <v>126</v>
      </c>
      <c r="J141" s="17">
        <f>I141*(VLOOKUP(C141,'Rev_Mapping Table'!$A$1:$C$12,3,0))</f>
        <v>70056000</v>
      </c>
      <c r="K141" s="16" t="s">
        <v>32</v>
      </c>
      <c r="L141" s="18">
        <v>0.08</v>
      </c>
      <c r="M141" s="19" t="str">
        <f>VLOOKUP(B141,Master_Mapper!$A$2:$C$628,3,0)</f>
        <v>Halifax Group</v>
      </c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</row>
    <row r="142">
      <c r="A142" s="37" t="b">
        <v>0</v>
      </c>
      <c r="B142" s="38" t="s">
        <v>279</v>
      </c>
      <c r="C142" s="23" t="s">
        <v>64</v>
      </c>
      <c r="D142" s="21" t="str">
        <f>vlookup(B142,Vert_Mapper!$A$2:$C$567,3,0)</f>
        <v>#N/A</v>
      </c>
      <c r="E142" s="37" t="s">
        <v>29</v>
      </c>
      <c r="F142" s="37" t="s">
        <v>34</v>
      </c>
      <c r="G142" s="21" t="str">
        <f t="shared" si="1"/>
        <v>GROWTH PHASE</v>
      </c>
      <c r="H142" s="37" t="s">
        <v>280</v>
      </c>
      <c r="I142" s="24">
        <f>IFERROR(__xludf.DUMMYFUNCTION("ROUND(
  MAX(
    MIN(
      (
        (VALUE(INDEX(SPLIT(K142,""-""),1)) + VALUE(INDEX(SPLIT(K142,""-""),2))) / 2
      ) *
      IFS(
        L142&gt;0.4, 1.6,
        L142&gt;0.1, 1.3,
        L142&gt;=-0.05, 1,
        L142&gt;=-0.2, 0.85,
        TRUE, 0.7
     "&amp;" ),
      VALUE(INDEX(SPLIT(K142,""-""),2))
    ),
    VALUE(INDEX(SPLIT(K142,""-""),1))
  )
)"),40.0)</f>
        <v>40</v>
      </c>
      <c r="J142" s="25">
        <f>I142*(VLOOKUP(C142,'Rev_Mapping Table'!$A$1:$C$12,3,0))</f>
        <v>19720000</v>
      </c>
      <c r="K142" s="39" t="s">
        <v>25</v>
      </c>
      <c r="L142" s="40">
        <v>0.14</v>
      </c>
      <c r="M142" s="27" t="str">
        <f>VLOOKUP(B142,Master_Mapper!$A$2:$C$628,3,0)</f>
        <v>Envest Capital Partners</v>
      </c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</row>
    <row r="143">
      <c r="A143" s="13" t="b">
        <v>0</v>
      </c>
      <c r="B143" s="14" t="s">
        <v>281</v>
      </c>
      <c r="C143" s="15" t="s">
        <v>22</v>
      </c>
      <c r="D143" s="13" t="str">
        <f>vlookup(B143,Vert_Mapper!$A$2:$C$567,3,0)</f>
        <v>IT Services &amp; Consulting</v>
      </c>
      <c r="E143" s="13" t="s">
        <v>26</v>
      </c>
      <c r="F143" s="13" t="s">
        <v>18</v>
      </c>
      <c r="G143" s="13" t="str">
        <f t="shared" si="1"/>
        <v>GROWTH PHASE</v>
      </c>
      <c r="H143" s="13" t="s">
        <v>282</v>
      </c>
      <c r="I143" s="16">
        <f>IFERROR(__xludf.DUMMYFUNCTION("ROUND(
  MAX(
    MIN(
      (
        (VALUE(INDEX(SPLIT(K143,""-""),1)) + VALUE(INDEX(SPLIT(K143,""-""),2))) / 2
      ) *
      IFS(
        L143&gt;0.4, 1.6,
        L143&gt;0.1, 1.3,
        L143&gt;=-0.05, 1,
        L143&gt;=-0.2, 0.85,
        TRUE, 0.7
     "&amp;" ),
      VALUE(INDEX(SPLIT(K143,""-""),2))
    ),
    VALUE(INDEX(SPLIT(K143,""-""),1))
  )
)"),126.0)</f>
        <v>126</v>
      </c>
      <c r="J143" s="17">
        <f>I143*(VLOOKUP(C143,'Rev_Mapping Table'!$A$1:$C$12,3,0))</f>
        <v>71064000</v>
      </c>
      <c r="K143" s="16" t="s">
        <v>32</v>
      </c>
      <c r="L143" s="18">
        <v>0.1</v>
      </c>
      <c r="M143" s="19" t="str">
        <f>VLOOKUP(B143,Master_Mapper!$A$2:$C$628,3,0)</f>
        <v>Route 2 Capital Partners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</row>
    <row r="144">
      <c r="A144" s="21" t="b">
        <v>0</v>
      </c>
      <c r="B144" s="31" t="s">
        <v>283</v>
      </c>
      <c r="C144" s="23" t="s">
        <v>16</v>
      </c>
      <c r="D144" s="21" t="str">
        <f>vlookup(B144,Vert_Mapper!$A$2:$C$567,3,0)</f>
        <v>Home Services / Construction / Industrial Services</v>
      </c>
      <c r="E144" s="21" t="s">
        <v>29</v>
      </c>
      <c r="F144" s="21" t="s">
        <v>34</v>
      </c>
      <c r="G144" s="21" t="str">
        <f t="shared" si="1"/>
        <v>DECLINING</v>
      </c>
      <c r="H144" s="21" t="s">
        <v>284</v>
      </c>
      <c r="I144" s="24">
        <f>IFERROR(__xludf.DUMMYFUNCTION("ROUND(
  MAX(
    MIN(
      (
        (VALUE(INDEX(SPLIT(K144,""-""),1)) + VALUE(INDEX(SPLIT(K144,""-""),2))) / 2
      ) *
      IFS(
        L144&gt;0.4, 1.6,
        L144&gt;0.1, 1.3,
        L144&gt;=-0.05, 1,
        L144&gt;=-0.2, 0.85,
        TRUE, 0.7
     "&amp;" ),
      VALUE(INDEX(SPLIT(K144,""-""),2))
    ),
    VALUE(INDEX(SPLIT(K144,""-""),1))
  )
)"),26.0)</f>
        <v>26</v>
      </c>
      <c r="J144" s="25">
        <f>I144*(VLOOKUP(C144,'Rev_Mapping Table'!$A$1:$C$12,3,0))</f>
        <v>12818000</v>
      </c>
      <c r="K144" s="24" t="s">
        <v>25</v>
      </c>
      <c r="L144" s="26">
        <v>-0.06</v>
      </c>
      <c r="M144" s="27" t="str">
        <f>VLOOKUP(B144,Master_Mapper!$A$2:$C$628,3,0)</f>
        <v>Succession Capital Partners</v>
      </c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</row>
    <row r="145">
      <c r="A145" s="13" t="b">
        <v>0</v>
      </c>
      <c r="B145" s="14" t="s">
        <v>285</v>
      </c>
      <c r="C145" s="15" t="s">
        <v>22</v>
      </c>
      <c r="D145" s="13" t="str">
        <f>vlookup(B145,Vert_Mapper!$A$2:$C$567,3,0)</f>
        <v>Software &amp; SaaS</v>
      </c>
      <c r="E145" s="13" t="s">
        <v>26</v>
      </c>
      <c r="F145" s="13" t="s">
        <v>18</v>
      </c>
      <c r="G145" s="13" t="str">
        <f t="shared" si="1"/>
        <v>FLAT TO NEUTRAL</v>
      </c>
      <c r="H145" s="13" t="s">
        <v>286</v>
      </c>
      <c r="I145" s="16">
        <f>IFERROR(__xludf.DUMMYFUNCTION("ROUND(
  MAX(
    MIN(
      (
        (VALUE(INDEX(SPLIT(K145,""-""),1)) + VALUE(INDEX(SPLIT(K145,""-""),2))) / 2
      ) *
      IFS(
        L145&gt;0.4, 1.6,
        L145&gt;0.1, 1.3,
        L145&gt;=-0.05, 1,
        L145&gt;=-0.2, 0.85,
        TRUE, 0.7
     "&amp;" ),
      VALUE(INDEX(SPLIT(K145,""-""),2))
    ),
    VALUE(INDEX(SPLIT(K145,""-""),1))
  )
)"),31.0)</f>
        <v>31</v>
      </c>
      <c r="J145" s="17">
        <f>I145*(VLOOKUP(C145,'Rev_Mapping Table'!$A$1:$C$12,3,0))</f>
        <v>17484000</v>
      </c>
      <c r="K145" s="16" t="s">
        <v>25</v>
      </c>
      <c r="L145" s="18">
        <v>0.0</v>
      </c>
      <c r="M145" s="19" t="str">
        <f>VLOOKUP(B145,Master_Mapper!$A$2:$C$628,3,0)</f>
        <v>Cerity Partners</v>
      </c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</row>
    <row r="146">
      <c r="A146" s="21" t="b">
        <v>1</v>
      </c>
      <c r="B146" s="31" t="s">
        <v>287</v>
      </c>
      <c r="C146" s="23" t="s">
        <v>56</v>
      </c>
      <c r="D146" s="21" t="str">
        <f>vlookup(B146,Vert_Mapper!$A$2:$C$567,3,0)</f>
        <v>Consumer Products</v>
      </c>
      <c r="E146" s="21" t="s">
        <v>26</v>
      </c>
      <c r="F146" s="21" t="s">
        <v>18</v>
      </c>
      <c r="G146" s="21" t="str">
        <f t="shared" si="1"/>
        <v>FLAT TO NEUTRAL</v>
      </c>
      <c r="H146" s="21" t="s">
        <v>228</v>
      </c>
      <c r="I146" s="24">
        <f>IFERROR(__xludf.DUMMYFUNCTION("ROUND(
  MAX(
    MIN(
      (
        (VALUE(INDEX(SPLIT(K146,""-""),1)) + VALUE(INDEX(SPLIT(K146,""-""),2))) / 2
      ) *
      IFS(
        L146&gt;0.4, 1.6,
        L146&gt;0.1, 1.3,
        L146&gt;=-0.05, 1,
        L146&gt;=-0.2, 0.85,
        TRUE, 0.7
     "&amp;" ),
      VALUE(INDEX(SPLIT(K146,""-""),2))
    ),
    VALUE(INDEX(SPLIT(K146,""-""),1))
  )
)"),6.0)</f>
        <v>6</v>
      </c>
      <c r="J146" s="25">
        <f>I146*(VLOOKUP(C146,'Rev_Mapping Table'!$A$1:$C$12,3,0))</f>
        <v>3072000</v>
      </c>
      <c r="K146" s="32">
        <v>45698.0</v>
      </c>
      <c r="L146" s="26">
        <v>0.0</v>
      </c>
      <c r="M146" s="27" t="str">
        <f>VLOOKUP(B146,Master_Mapper!$A$2:$C$628,3,0)</f>
        <v>VentureSouth</v>
      </c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</row>
    <row r="147">
      <c r="A147" s="13" t="b">
        <v>0</v>
      </c>
      <c r="B147" s="14" t="s">
        <v>288</v>
      </c>
      <c r="C147" s="15" t="s">
        <v>72</v>
      </c>
      <c r="D147" s="13" t="str">
        <f>vlookup(B147,Vert_Mapper!$A$2:$C$567,3,0)</f>
        <v>Media &amp; Entertainment</v>
      </c>
      <c r="E147" s="13" t="s">
        <v>26</v>
      </c>
      <c r="F147" s="13" t="s">
        <v>18</v>
      </c>
      <c r="G147" s="13" t="str">
        <f t="shared" si="1"/>
        <v>HYPERGROWTH</v>
      </c>
      <c r="H147" s="13" t="s">
        <v>289</v>
      </c>
      <c r="I147" s="16" t="str">
        <f>IFERROR(__xludf.DUMMYFUNCTION("ROUND(
  MAX(
    MIN(
      (
        (VALUE(INDEX(SPLIT(K147,""-""),1)) + VALUE(INDEX(SPLIT(K147,""-""),2))) / 2
      ) *
      IFS(
        L147&gt;0.4, 1.6,
        L147&gt;0.1, 1.3,
        L147&gt;=-0.05, 1,
        L147&gt;=-0.2, 0.85,
        TRUE, 0.7
     "&amp;" ),
      VALUE(INDEX(SPLIT(K147,""-""),2))
    ),
    VALUE(INDEX(SPLIT(K147,""-""),1))
  )
)"),"#VALUE!")</f>
        <v>#VALUE!</v>
      </c>
      <c r="J147" s="17" t="str">
        <f>I147*(VLOOKUP(C147,'Rev_Mapping Table'!$A$1:$C$12,3,0))</f>
        <v>#VALUE!</v>
      </c>
      <c r="K147" s="41" t="s">
        <v>289</v>
      </c>
      <c r="L147" s="41" t="s">
        <v>289</v>
      </c>
      <c r="M147" s="19" t="str">
        <f>VLOOKUP(B147,Master_Mapper!$A$2:$C$628,3,0)</f>
        <v>Route 2 Capital Partners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</row>
    <row r="148">
      <c r="A148" s="21" t="b">
        <v>0</v>
      </c>
      <c r="B148" s="31" t="s">
        <v>290</v>
      </c>
      <c r="C148" s="23" t="s">
        <v>16</v>
      </c>
      <c r="D148" s="21" t="str">
        <f>vlookup(B148,Vert_Mapper!$A$2:$C$567,3,0)</f>
        <v>Aerospace and Defense</v>
      </c>
      <c r="E148" s="21" t="s">
        <v>26</v>
      </c>
      <c r="F148" s="21" t="s">
        <v>18</v>
      </c>
      <c r="G148" s="21" t="str">
        <f t="shared" si="1"/>
        <v>GROWTH PHASE</v>
      </c>
      <c r="H148" s="21" t="s">
        <v>291</v>
      </c>
      <c r="I148" s="24">
        <f>IFERROR(__xludf.DUMMYFUNCTION("ROUND(
  MAX(
    MIN(
      (
        (VALUE(INDEX(SPLIT(K148,""-""),1)) + VALUE(INDEX(SPLIT(K148,""-""),2))) / 2
      ) *
      IFS(
        L148&gt;0.4, 1.6,
        L148&gt;0.1, 1.3,
        L148&gt;=-0.05, 1,
        L148&gt;=-0.2, 0.85,
        TRUE, 0.7
     "&amp;" ),
      VALUE(INDEX(SPLIT(K148,""-""),2))
    ),
    VALUE(INDEX(SPLIT(K148,""-""),1))
  )
)"),7501.0)</f>
        <v>7501</v>
      </c>
      <c r="J148" s="25">
        <f>I148*(VLOOKUP(C148,'Rev_Mapping Table'!$A$1:$C$12,3,0))</f>
        <v>3697993000</v>
      </c>
      <c r="K148" s="24" t="s">
        <v>81</v>
      </c>
      <c r="L148" s="26">
        <v>0.07</v>
      </c>
      <c r="M148" s="27" t="str">
        <f>VLOOKUP(B148,Master_Mapper!$A$2:$C$628,3,0)</f>
        <v>Blue Point Capital Partners</v>
      </c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</row>
    <row r="149">
      <c r="A149" s="13" t="b">
        <v>1</v>
      </c>
      <c r="B149" s="14" t="s">
        <v>292</v>
      </c>
      <c r="C149" s="15" t="s">
        <v>22</v>
      </c>
      <c r="D149" s="13" t="str">
        <f>vlookup(B149,Vert_Mapper!$A$2:$C$567,3,0)</f>
        <v>Construction Technology</v>
      </c>
      <c r="E149" s="13" t="s">
        <v>65</v>
      </c>
      <c r="F149" s="13" t="s">
        <v>18</v>
      </c>
      <c r="G149" s="13" t="str">
        <f t="shared" si="1"/>
        <v>ACCELERATED GROWTH</v>
      </c>
      <c r="H149" s="13" t="s">
        <v>31</v>
      </c>
      <c r="I149" s="16">
        <f>IFERROR(__xludf.DUMMYFUNCTION("ROUND(
  MAX(
    MIN(
      (
        (VALUE(INDEX(SPLIT(K149,""-""),1)) + VALUE(INDEX(SPLIT(K149,""-""),2))) / 2
      ) *
      IFS(
        L149&gt;0.4, 1.6,
        L149&gt;0.1, 1.3,
        L149&gt;=-0.05, 1,
        L149&gt;=-0.2, 0.85,
        TRUE, 0.7
     "&amp;" ),
      VALUE(INDEX(SPLIT(K149,""-""),2))
    ),
    VALUE(INDEX(SPLIT(K149,""-""),1))
  )
)"),49.0)</f>
        <v>49</v>
      </c>
      <c r="J149" s="17">
        <f>I149*(VLOOKUP(C149,'Rev_Mapping Table'!$A$1:$C$12,3,0))</f>
        <v>27636000</v>
      </c>
      <c r="K149" s="16" t="s">
        <v>25</v>
      </c>
      <c r="L149" s="18">
        <v>0.75</v>
      </c>
      <c r="M149" s="19" t="str">
        <f>VLOOKUP(B149,Master_Mapper!$A$2:$C$628,3,0)</f>
        <v>EF Capital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</row>
    <row r="150">
      <c r="A150" s="21" t="b">
        <v>0</v>
      </c>
      <c r="B150" s="31" t="s">
        <v>293</v>
      </c>
      <c r="C150" s="23" t="s">
        <v>46</v>
      </c>
      <c r="D150" s="21" t="str">
        <f>vlookup(B150,Vert_Mapper!$A$2:$C$567,3,0)</f>
        <v>#N/A</v>
      </c>
      <c r="E150" s="21" t="s">
        <v>85</v>
      </c>
      <c r="F150" s="21" t="s">
        <v>18</v>
      </c>
      <c r="G150" s="21" t="str">
        <f t="shared" si="1"/>
        <v>FLAT TO NEUTRAL</v>
      </c>
      <c r="H150" s="21" t="s">
        <v>151</v>
      </c>
      <c r="I150" s="24">
        <f>IFERROR(__xludf.DUMMYFUNCTION("ROUND(
  MAX(
    MIN(
      (
        (VALUE(INDEX(SPLIT(K150,""-""),1)) + VALUE(INDEX(SPLIT(K150,""-""),2))) / 2
      ) *
      IFS(
        L150&gt;0.4, 1.6,
        L150&gt;0.1, 1.3,
        L150&gt;=-0.05, 1,
        L150&gt;=-0.2, 0.85,
        TRUE, 0.7
     "&amp;" ),
      VALUE(INDEX(SPLIT(K150,""-""),2))
    ),
    VALUE(INDEX(SPLIT(K150,""-""),1))
  )
)"),31.0)</f>
        <v>31</v>
      </c>
      <c r="J150" s="25">
        <f>I150*(VLOOKUP(C150,'Rev_Mapping Table'!$A$1:$C$12,3,0))</f>
        <v>17236000</v>
      </c>
      <c r="K150" s="24" t="s">
        <v>25</v>
      </c>
      <c r="L150" s="26">
        <v>0.0</v>
      </c>
      <c r="M150" s="27" t="str">
        <f>VLOOKUP(B150,Master_Mapper!$A$2:$C$628,3,0)</f>
        <v>Tidewater Equity Partners</v>
      </c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</row>
    <row r="151">
      <c r="A151" s="13" t="b">
        <v>0</v>
      </c>
      <c r="B151" s="14" t="s">
        <v>294</v>
      </c>
      <c r="C151" s="15" t="s">
        <v>72</v>
      </c>
      <c r="D151" s="13" t="str">
        <f>vlookup(B151,Vert_Mapper!$A$2:$C$567,3,0)</f>
        <v>Marketing &amp; Advertising</v>
      </c>
      <c r="E151" s="13" t="s">
        <v>26</v>
      </c>
      <c r="F151" s="13" t="s">
        <v>18</v>
      </c>
      <c r="G151" s="13" t="str">
        <f t="shared" si="1"/>
        <v>HYPERGROWTH</v>
      </c>
      <c r="H151" s="13" t="s">
        <v>131</v>
      </c>
      <c r="I151" s="16" t="str">
        <f>IFERROR(__xludf.DUMMYFUNCTION("ROUND(
  MAX(
    MIN(
      (
        (VALUE(INDEX(SPLIT(K151,""-""),1)) + VALUE(INDEX(SPLIT(K151,""-""),2))) / 2
      ) *
      IFS(
        L151&gt;0.4, 1.6,
        L151&gt;0.1, 1.3,
        L151&gt;=-0.05, 1,
        L151&gt;=-0.2, 0.85,
        TRUE, 0.7
     "&amp;" ),
      VALUE(INDEX(SPLIT(K151,""-""),2))
    ),
    VALUE(INDEX(SPLIT(K151,""-""),1))
  )
)"),"#VALUE!")</f>
        <v>#VALUE!</v>
      </c>
      <c r="J151" s="17" t="str">
        <f>I151*(VLOOKUP(C151,'Rev_Mapping Table'!$A$1:$C$12,3,0))</f>
        <v>#VALUE!</v>
      </c>
      <c r="K151" s="41" t="s">
        <v>131</v>
      </c>
      <c r="L151" s="41" t="s">
        <v>131</v>
      </c>
      <c r="M151" s="19" t="str">
        <f>VLOOKUP(B151,Master_Mapper!$A$2:$C$628,3,0)</f>
        <v>Route 2 Capital Partners</v>
      </c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</row>
    <row r="152">
      <c r="A152" s="21" t="b">
        <v>0</v>
      </c>
      <c r="B152" s="31" t="s">
        <v>295</v>
      </c>
      <c r="C152" s="23" t="s">
        <v>56</v>
      </c>
      <c r="D152" s="21" t="str">
        <f>vlookup(B152,Vert_Mapper!$A$2:$C$567,3,0)</f>
        <v>Consumer Products</v>
      </c>
      <c r="E152" s="21" t="s">
        <v>26</v>
      </c>
      <c r="F152" s="21" t="s">
        <v>18</v>
      </c>
      <c r="G152" s="21" t="str">
        <f t="shared" si="1"/>
        <v>DECLINING</v>
      </c>
      <c r="H152" s="21" t="s">
        <v>296</v>
      </c>
      <c r="I152" s="24">
        <f>IFERROR(__xludf.DUMMYFUNCTION("ROUND(
  MAX(
    MIN(
      (
        (VALUE(INDEX(SPLIT(K152,""-""),1)) + VALUE(INDEX(SPLIT(K152,""-""),2))) / 2
      ) *
      IFS(
        L152&gt;0.4, 1.6,
        L152&gt;0.1, 1.3,
        L152&gt;=-0.05, 1,
        L152&gt;=-0.2, 0.85,
        TRUE, 0.7
     "&amp;" ),
      VALUE(INDEX(SPLIT(K152,""-""),2))
    ),
    VALUE(INDEX(SPLIT(K152,""-""),1))
  )
)"),26.0)</f>
        <v>26</v>
      </c>
      <c r="J152" s="25">
        <f>I152*(VLOOKUP(C152,'Rev_Mapping Table'!$A$1:$C$12,3,0))</f>
        <v>13312000</v>
      </c>
      <c r="K152" s="24" t="s">
        <v>25</v>
      </c>
      <c r="L152" s="26">
        <v>-0.2</v>
      </c>
      <c r="M152" s="27" t="str">
        <f>VLOOKUP(B152,Master_Mapper!$A$2:$C$628,3,0)</f>
        <v>Cerity Partners</v>
      </c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</row>
    <row r="153">
      <c r="A153" s="13" t="b">
        <v>0</v>
      </c>
      <c r="B153" s="14" t="s">
        <v>297</v>
      </c>
      <c r="C153" s="15" t="s">
        <v>16</v>
      </c>
      <c r="D153" s="13" t="str">
        <f>vlookup(B153,Vert_Mapper!$A$2:$C$567,3,0)</f>
        <v>Transportation &amp; Logistics</v>
      </c>
      <c r="E153" s="13" t="s">
        <v>26</v>
      </c>
      <c r="F153" s="13" t="s">
        <v>18</v>
      </c>
      <c r="G153" s="13" t="str">
        <f t="shared" si="1"/>
        <v>GROWTH PHASE</v>
      </c>
      <c r="H153" s="13" t="s">
        <v>298</v>
      </c>
      <c r="I153" s="16">
        <f>IFERROR(__xludf.DUMMYFUNCTION("ROUND(
  MAX(
    MIN(
      (
        (VALUE(INDEX(SPLIT(K153,""-""),1)) + VALUE(INDEX(SPLIT(K153,""-""),2))) / 2
      ) *
      IFS(
        L153&gt;0.4, 1.6,
        L153&gt;0.1, 1.3,
        L153&gt;=-0.05, 1,
        L153&gt;=-0.2, 0.85,
        TRUE, 0.7
     "&amp;" ),
      VALUE(INDEX(SPLIT(K153,""-""),2))
    ),
    VALUE(INDEX(SPLIT(K153,""-""),1))
  )
)"),3001.0)</f>
        <v>3001</v>
      </c>
      <c r="J153" s="17">
        <f>I153*(VLOOKUP(C153,'Rev_Mapping Table'!$A$1:$C$12,3,0))</f>
        <v>1479493000</v>
      </c>
      <c r="K153" s="16" t="s">
        <v>96</v>
      </c>
      <c r="L153" s="18">
        <v>0.05</v>
      </c>
      <c r="M153" s="19" t="str">
        <f>VLOOKUP(B153,Master_Mapper!$A$2:$C$628,3,0)</f>
        <v>NovaQuest Capital Mgmt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</row>
    <row r="154">
      <c r="A154" s="21" t="b">
        <v>0</v>
      </c>
      <c r="B154" s="31" t="s">
        <v>299</v>
      </c>
      <c r="C154" s="23" t="s">
        <v>42</v>
      </c>
      <c r="D154" s="21" t="str">
        <f>vlookup(B154,Vert_Mapper!$A$2:$C$567,3,0)</f>
        <v>Real Estate Services</v>
      </c>
      <c r="E154" s="21" t="s">
        <v>26</v>
      </c>
      <c r="F154" s="21" t="s">
        <v>18</v>
      </c>
      <c r="G154" s="21" t="str">
        <f t="shared" si="1"/>
        <v>GROWTH PHASE</v>
      </c>
      <c r="H154" s="21" t="s">
        <v>151</v>
      </c>
      <c r="I154" s="24">
        <f>IFERROR(__xludf.DUMMYFUNCTION("ROUND(
  MAX(
    MIN(
      (
        (VALUE(INDEX(SPLIT(K154,""-""),1)) + VALUE(INDEX(SPLIT(K154,""-""),2))) / 2
      ) *
      IFS(
        L154&gt;0.4, 1.6,
        L154&gt;0.1, 1.3,
        L154&gt;=-0.05, 1,
        L154&gt;=-0.2, 0.85,
        TRUE, 0.7
     "&amp;" ),
      VALUE(INDEX(SPLIT(K154,""-""),2))
    ),
    VALUE(INDEX(SPLIT(K154,""-""),1))
  )
)"),31.0)</f>
        <v>31</v>
      </c>
      <c r="J154" s="25">
        <f>I154*(VLOOKUP(C154,'Rev_Mapping Table'!$A$1:$C$12,3,0))</f>
        <v>14260000</v>
      </c>
      <c r="K154" s="24" t="s">
        <v>25</v>
      </c>
      <c r="L154" s="26">
        <v>0.04</v>
      </c>
      <c r="M154" s="27" t="str">
        <f>VLOOKUP(B154,Master_Mapper!$A$2:$C$628,3,0)</f>
        <v>VentureSouth</v>
      </c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</row>
    <row r="155">
      <c r="A155" s="13" t="b">
        <v>0</v>
      </c>
      <c r="B155" s="14" t="s">
        <v>300</v>
      </c>
      <c r="C155" s="15" t="s">
        <v>16</v>
      </c>
      <c r="D155" s="13" t="str">
        <f>vlookup(B155,Vert_Mapper!$A$2:$C$567,3,0)</f>
        <v>Industrial Equipment &amp; Services</v>
      </c>
      <c r="E155" s="13" t="s">
        <v>26</v>
      </c>
      <c r="F155" s="13" t="s">
        <v>18</v>
      </c>
      <c r="G155" s="13" t="str">
        <f t="shared" si="1"/>
        <v>GROWTH PHASE</v>
      </c>
      <c r="H155" s="13" t="s">
        <v>301</v>
      </c>
      <c r="I155" s="16">
        <f>IFERROR(__xludf.DUMMYFUNCTION("ROUND(
  MAX(
    MIN(
      (
        (VALUE(INDEX(SPLIT(K155,""-""),1)) + VALUE(INDEX(SPLIT(K155,""-""),2))) / 2
      ) *
      IFS(
        L155&gt;0.4, 1.6,
        L155&gt;0.1, 1.3,
        L155&gt;=-0.05, 1,
        L155&gt;=-0.2, 0.85,
        TRUE, 0.7
     "&amp;" ),
      VALUE(INDEX(SPLIT(K155,""-""),2))
    ),
    VALUE(INDEX(SPLIT(K155,""-""),1))
  )
)"),126.0)</f>
        <v>126</v>
      </c>
      <c r="J155" s="17">
        <f>I155*(VLOOKUP(C155,'Rev_Mapping Table'!$A$1:$C$12,3,0))</f>
        <v>62118000</v>
      </c>
      <c r="K155" s="16" t="s">
        <v>32</v>
      </c>
      <c r="L155" s="18">
        <v>0.08</v>
      </c>
      <c r="M155" s="19" t="str">
        <f>VLOOKUP(B155,Master_Mapper!$A$2:$C$628,3,0)</f>
        <v>Carousel Capital</v>
      </c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</row>
    <row r="156">
      <c r="A156" s="21" t="b">
        <v>0</v>
      </c>
      <c r="B156" s="31" t="s">
        <v>302</v>
      </c>
      <c r="C156" s="23" t="s">
        <v>72</v>
      </c>
      <c r="D156" s="21" t="str">
        <f>vlookup(B156,Vert_Mapper!$A$2:$C$567,3,0)</f>
        <v>Media &amp; Entertainment</v>
      </c>
      <c r="E156" s="21" t="s">
        <v>26</v>
      </c>
      <c r="F156" s="21" t="s">
        <v>18</v>
      </c>
      <c r="G156" s="21" t="str">
        <f t="shared" si="1"/>
        <v>GROWTH PHASE</v>
      </c>
      <c r="H156" s="21" t="s">
        <v>269</v>
      </c>
      <c r="I156" s="24">
        <f>IFERROR(__xludf.DUMMYFUNCTION("ROUND(
  MAX(
    MIN(
      (
        (VALUE(INDEX(SPLIT(K156,""-""),1)) + VALUE(INDEX(SPLIT(K156,""-""),2))) / 2
      ) *
      IFS(
        L156&gt;0.4, 1.6,
        L156&gt;0.1, 1.3,
        L156&gt;=-0.05, 1,
        L156&gt;=-0.2, 0.85,
        TRUE, 0.7
     "&amp;" ),
      VALUE(INDEX(SPLIT(K156,""-""),2))
    ),
    VALUE(INDEX(SPLIT(K156,""-""),1))
  )
)"),40.0)</f>
        <v>40</v>
      </c>
      <c r="J156" s="25">
        <f>I156*(VLOOKUP(C156,'Rev_Mapping Table'!$A$1:$C$12,3,0))</f>
        <v>22560000</v>
      </c>
      <c r="K156" s="24" t="s">
        <v>25</v>
      </c>
      <c r="L156" s="26">
        <v>0.12</v>
      </c>
      <c r="M156" s="27" t="str">
        <f>VLOOKUP(B156,Master_Mapper!$A$2:$C$628,3,0)</f>
        <v>Route 2 Capital Partners</v>
      </c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</row>
    <row r="157">
      <c r="A157" s="13" t="b">
        <v>0</v>
      </c>
      <c r="B157" s="14" t="s">
        <v>303</v>
      </c>
      <c r="C157" s="15" t="s">
        <v>22</v>
      </c>
      <c r="D157" s="13" t="str">
        <f>vlookup(B157,Vert_Mapper!$A$2:$C$567,3,0)</f>
        <v>IT Services &amp; Consulting</v>
      </c>
      <c r="E157" s="13" t="s">
        <v>65</v>
      </c>
      <c r="F157" s="13" t="s">
        <v>18</v>
      </c>
      <c r="G157" s="13" t="str">
        <f t="shared" si="1"/>
        <v>GROWTH PHASE</v>
      </c>
      <c r="H157" s="13" t="s">
        <v>73</v>
      </c>
      <c r="I157" s="16">
        <f>IFERROR(__xludf.DUMMYFUNCTION("ROUND(
  MAX(
    MIN(
      (
        (VALUE(INDEX(SPLIT(K157,""-""),1)) + VALUE(INDEX(SPLIT(K157,""-""),2))) / 2
      ) *
      IFS(
        L157&gt;0.4, 1.6,
        L157&gt;0.1, 1.3,
        L157&gt;=-0.05, 1,
        L157&gt;=-0.2, 0.85,
        TRUE, 0.7
     "&amp;" ),
      VALUE(INDEX(SPLIT(K157,""-""),2))
    ),
    VALUE(INDEX(SPLIT(K157,""-""),1))
  )
)"),351.0)</f>
        <v>351</v>
      </c>
      <c r="J157" s="17">
        <f>I157*(VLOOKUP(C157,'Rev_Mapping Table'!$A$1:$C$12,3,0))</f>
        <v>197964000</v>
      </c>
      <c r="K157" s="16" t="s">
        <v>20</v>
      </c>
      <c r="L157" s="18">
        <v>0.06</v>
      </c>
      <c r="M157" s="19" t="str">
        <f>VLOOKUP(B157,Master_Mapper!$A$2:$C$628,3,0)</f>
        <v>Falfurrias Capital Partners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</row>
    <row r="158">
      <c r="A158" s="21" t="b">
        <v>0</v>
      </c>
      <c r="B158" s="31" t="s">
        <v>304</v>
      </c>
      <c r="C158" s="23" t="s">
        <v>42</v>
      </c>
      <c r="D158" s="21" t="str">
        <f>vlookup(B158,Vert_Mapper!$A$2:$C$567,3,0)</f>
        <v>Real Estate Services</v>
      </c>
      <c r="E158" s="21" t="s">
        <v>305</v>
      </c>
      <c r="F158" s="21" t="s">
        <v>86</v>
      </c>
      <c r="G158" s="21" t="str">
        <f t="shared" si="1"/>
        <v>SEVERELY NEGATIVE</v>
      </c>
      <c r="H158" s="21" t="s">
        <v>306</v>
      </c>
      <c r="I158" s="24">
        <f>IFERROR(__xludf.DUMMYFUNCTION("ROUND(
  MAX(
    MIN(
      (
        (VALUE(INDEX(SPLIT(K158,""-""),1)) + VALUE(INDEX(SPLIT(K158,""-""),2))) / 2
      ) *
      IFS(
        L158&gt;0.4, 1.6,
        L158&gt;0.1, 1.3,
        L158&gt;=-0.05, 1,
        L158&gt;=-0.2, 0.85,
        TRUE, 0.7
     "&amp;" ),
      VALUE(INDEX(SPLIT(K158,""-""),2))
    ),
    VALUE(INDEX(SPLIT(K158,""-""),1))
  )
)"),88.0)</f>
        <v>88</v>
      </c>
      <c r="J158" s="25">
        <f>I158*(VLOOKUP(C158,'Rev_Mapping Table'!$A$1:$C$12,3,0))</f>
        <v>40480000</v>
      </c>
      <c r="K158" s="24" t="s">
        <v>32</v>
      </c>
      <c r="L158" s="26">
        <v>-0.54</v>
      </c>
      <c r="M158" s="27" t="str">
        <f>VLOOKUP(B158,Master_Mapper!$A$2:$C$628,3,0)</f>
        <v>Cerity Partners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</row>
    <row r="159">
      <c r="A159" s="13" t="b">
        <v>0</v>
      </c>
      <c r="B159" s="14" t="s">
        <v>307</v>
      </c>
      <c r="C159" s="15" t="s">
        <v>111</v>
      </c>
      <c r="D159" s="13" t="str">
        <f>vlookup(B159,Vert_Mapper!$A$2:$C$567,3,0)</f>
        <v>Food &amp; Beverage Manufacturing</v>
      </c>
      <c r="E159" s="13" t="s">
        <v>26</v>
      </c>
      <c r="F159" s="13" t="s">
        <v>18</v>
      </c>
      <c r="G159" s="13" t="str">
        <f t="shared" si="1"/>
        <v>DECLINING</v>
      </c>
      <c r="H159" s="13" t="s">
        <v>308</v>
      </c>
      <c r="I159" s="16">
        <f>IFERROR(__xludf.DUMMYFUNCTION("ROUND(
  MAX(
    MIN(
      (
        (VALUE(INDEX(SPLIT(K159,""-""),1)) + VALUE(INDEX(SPLIT(K159,""-""),2))) / 2
      ) *
      IFS(
        L159&gt;0.4, 1.6,
        L159&gt;0.1, 1.3,
        L159&gt;=-0.05, 1,
        L159&gt;=-0.2, 0.85,
        TRUE, 0.7
     "&amp;" ),
      VALUE(INDEX(SPLIT(K159,""-""),2))
    ),
    VALUE(INDEX(SPLIT(K159,""-""),1))
  )
)"),351.0)</f>
        <v>351</v>
      </c>
      <c r="J159" s="17">
        <f>I159*(VLOOKUP(C159,'Rev_Mapping Table'!$A$1:$C$12,3,0))</f>
        <v>195156000</v>
      </c>
      <c r="K159" s="16" t="s">
        <v>20</v>
      </c>
      <c r="L159" s="18">
        <v>-0.01</v>
      </c>
      <c r="M159" s="19" t="str">
        <f>VLOOKUP(B159,Master_Mapper!$A$2:$C$628,3,0)</f>
        <v>Summit Park</v>
      </c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</row>
    <row r="160">
      <c r="A160" s="21" t="b">
        <v>0</v>
      </c>
      <c r="B160" s="31" t="s">
        <v>309</v>
      </c>
      <c r="C160" s="23" t="s">
        <v>46</v>
      </c>
      <c r="D160" s="21" t="str">
        <f>vlookup(B160,Vert_Mapper!$A$2:$C$567,3,0)</f>
        <v>Biotechnology &amp; Pharmaceuticals</v>
      </c>
      <c r="E160" s="21" t="s">
        <v>26</v>
      </c>
      <c r="F160" s="21" t="s">
        <v>18</v>
      </c>
      <c r="G160" s="21" t="str">
        <f t="shared" si="1"/>
        <v>DECLINING</v>
      </c>
      <c r="H160" s="21" t="s">
        <v>310</v>
      </c>
      <c r="I160" s="24">
        <f>IFERROR(__xludf.DUMMYFUNCTION("ROUND(
  MAX(
    MIN(
      (
        (VALUE(INDEX(SPLIT(K160,""-""),1)) + VALUE(INDEX(SPLIT(K160,""-""),2))) / 2
      ) *
      IFS(
        L160&gt;0.4, 1.6,
        L160&gt;0.1, 1.3,
        L160&gt;=-0.05, 1,
        L160&gt;=-0.2, 0.85,
        TRUE, 0.7
     "&amp;" ),
      VALUE(INDEX(SPLIT(K160,""-""),2))
    ),
    VALUE(INDEX(SPLIT(K160,""-""),1))
  )
)"),5.0)</f>
        <v>5</v>
      </c>
      <c r="J160" s="25">
        <f>I160*(VLOOKUP(C160,'Rev_Mapping Table'!$A$1:$C$12,3,0))</f>
        <v>2780000</v>
      </c>
      <c r="K160" s="32">
        <v>45698.0</v>
      </c>
      <c r="L160" s="26">
        <v>-0.11</v>
      </c>
      <c r="M160" s="27" t="str">
        <f>VLOOKUP(B160,Master_Mapper!$A$2:$C$628,3,0)</f>
        <v>Bloomfield Partners</v>
      </c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</row>
    <row r="161">
      <c r="A161" s="13" t="b">
        <v>0</v>
      </c>
      <c r="B161" s="14" t="s">
        <v>311</v>
      </c>
      <c r="C161" s="15" t="s">
        <v>16</v>
      </c>
      <c r="D161" s="13" t="str">
        <f>vlookup(B161,Vert_Mapper!$A$2:$C$567,3,0)</f>
        <v>Transportation &amp; Logistics</v>
      </c>
      <c r="E161" s="13" t="s">
        <v>26</v>
      </c>
      <c r="F161" s="13" t="s">
        <v>18</v>
      </c>
      <c r="G161" s="13" t="str">
        <f t="shared" si="1"/>
        <v>ACCELERATED GROWTH</v>
      </c>
      <c r="H161" s="13" t="s">
        <v>83</v>
      </c>
      <c r="I161" s="16">
        <f>IFERROR(__xludf.DUMMYFUNCTION("ROUND(
  MAX(
    MIN(
      (
        (VALUE(INDEX(SPLIT(K161,""-""),1)) + VALUE(INDEX(SPLIT(K161,""-""),2))) / 2
      ) *
      IFS(
        L161&gt;0.4, 1.6,
        L161&gt;0.1, 1.3,
        L161&gt;=-0.05, 1,
        L161&gt;=-0.2, 0.85,
        TRUE, 0.7
     "&amp;" ),
      VALUE(INDEX(SPLIT(K161,""-""),2))
    ),
    VALUE(INDEX(SPLIT(K161,""-""),1))
  )
)"),163.0)</f>
        <v>163</v>
      </c>
      <c r="J161" s="17">
        <f>I161*(VLOOKUP(C161,'Rev_Mapping Table'!$A$1:$C$12,3,0))</f>
        <v>80359000</v>
      </c>
      <c r="K161" s="16" t="s">
        <v>32</v>
      </c>
      <c r="L161" s="18">
        <v>0.25</v>
      </c>
      <c r="M161" s="19" t="str">
        <f>VLOOKUP(B161,Master_Mapper!$A$2:$C$628,3,0)</f>
        <v>VentureSouth</v>
      </c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</row>
    <row r="162">
      <c r="A162" s="21" t="b">
        <v>0</v>
      </c>
      <c r="B162" s="31" t="s">
        <v>312</v>
      </c>
      <c r="C162" s="23" t="s">
        <v>16</v>
      </c>
      <c r="D162" s="21" t="str">
        <f>vlookup(B162,Vert_Mapper!$A$2:$C$567,3,0)</f>
        <v>Industrial Equipment &amp; Services</v>
      </c>
      <c r="E162" s="21" t="s">
        <v>26</v>
      </c>
      <c r="F162" s="21" t="s">
        <v>18</v>
      </c>
      <c r="G162" s="21" t="str">
        <f t="shared" si="1"/>
        <v>DECLINING</v>
      </c>
      <c r="H162" s="21" t="s">
        <v>313</v>
      </c>
      <c r="I162" s="24">
        <f>IFERROR(__xludf.DUMMYFUNCTION("ROUND(
  MAX(
    MIN(
      (
        (VALUE(INDEX(SPLIT(K162,""-""),1)) + VALUE(INDEX(SPLIT(K162,""-""),2))) / 2
      ) *
      IFS(
        L162&gt;0.4, 1.6,
        L162&gt;0.1, 1.3,
        L162&gt;=-0.05, 1,
        L162&gt;=-0.2, 0.85,
        TRUE, 0.7
     "&amp;" ),
      VALUE(INDEX(SPLIT(K162,""-""),2))
    ),
    VALUE(INDEX(SPLIT(K162,""-""),1))
  )
)"),31.0)</f>
        <v>31</v>
      </c>
      <c r="J162" s="25">
        <f>I162*(VLOOKUP(C162,'Rev_Mapping Table'!$A$1:$C$12,3,0))</f>
        <v>15283000</v>
      </c>
      <c r="K162" s="24" t="s">
        <v>25</v>
      </c>
      <c r="L162" s="26">
        <v>-0.04</v>
      </c>
      <c r="M162" s="27" t="str">
        <f>VLOOKUP(B162,Master_Mapper!$A$2:$C$628,3,0)</f>
        <v>Summit Park</v>
      </c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</row>
    <row r="163">
      <c r="A163" s="13" t="b">
        <v>0</v>
      </c>
      <c r="B163" s="14" t="s">
        <v>314</v>
      </c>
      <c r="C163" s="15" t="s">
        <v>46</v>
      </c>
      <c r="D163" s="13" t="str">
        <f>vlookup(B163,Vert_Mapper!$A$2:$C$567,3,0)</f>
        <v>Healthcare Services</v>
      </c>
      <c r="E163" s="13" t="s">
        <v>26</v>
      </c>
      <c r="F163" s="13" t="s">
        <v>18</v>
      </c>
      <c r="G163" s="13" t="str">
        <f t="shared" si="1"/>
        <v>FLAT TO NEUTRAL</v>
      </c>
      <c r="H163" s="13" t="s">
        <v>315</v>
      </c>
      <c r="I163" s="16">
        <f>IFERROR(__xludf.DUMMYFUNCTION("ROUND(
  MAX(
    MIN(
      (
        (VALUE(INDEX(SPLIT(K163,""-""),1)) + VALUE(INDEX(SPLIT(K163,""-""),2))) / 2
      ) *
      IFS(
        L163&gt;0.4, 1.6,
        L163&gt;0.1, 1.3,
        L163&gt;=-0.05, 1,
        L163&gt;=-0.2, 0.85,
        TRUE, 0.7
     "&amp;" ),
      VALUE(INDEX(SPLIT(K163,""-""),2))
    ),
    VALUE(INDEX(SPLIT(K163,""-""),1))
  )
)"),351.0)</f>
        <v>351</v>
      </c>
      <c r="J163" s="17">
        <f>I163*(VLOOKUP(C163,'Rev_Mapping Table'!$A$1:$C$12,3,0))</f>
        <v>195156000</v>
      </c>
      <c r="K163" s="16" t="s">
        <v>20</v>
      </c>
      <c r="L163" s="18">
        <v>0.02</v>
      </c>
      <c r="M163" s="19" t="str">
        <f>VLOOKUP(B163,Master_Mapper!$A$2:$C$628,3,0)</f>
        <v>VentureSouth</v>
      </c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</row>
    <row r="164">
      <c r="A164" s="21" t="b">
        <v>0</v>
      </c>
      <c r="B164" s="31" t="s">
        <v>316</v>
      </c>
      <c r="C164" s="23" t="s">
        <v>22</v>
      </c>
      <c r="D164" s="21" t="str">
        <f>vlookup(B164,Vert_Mapper!$A$2:$C$567,3,0)</f>
        <v>Software &amp; SaaS</v>
      </c>
      <c r="E164" s="21" t="s">
        <v>26</v>
      </c>
      <c r="F164" s="21" t="s">
        <v>18</v>
      </c>
      <c r="G164" s="21" t="str">
        <f t="shared" si="1"/>
        <v>FLAT TO NEUTRAL</v>
      </c>
      <c r="H164" s="21" t="s">
        <v>317</v>
      </c>
      <c r="I164" s="24">
        <f>IFERROR(__xludf.DUMMYFUNCTION("ROUND(
  MAX(
    MIN(
      (
        (VALUE(INDEX(SPLIT(K164,""-""),1)) + VALUE(INDEX(SPLIT(K164,""-""),2))) / 2
      ) *
      IFS(
        L164&gt;0.4, 1.6,
        L164&gt;0.1, 1.3,
        L164&gt;=-0.05, 1,
        L164&gt;=-0.2, 0.85,
        TRUE, 0.7
     "&amp;" ),
      VALUE(INDEX(SPLIT(K164,""-""),2))
    ),
    VALUE(INDEX(SPLIT(K164,""-""),1))
  )
)"),126.0)</f>
        <v>126</v>
      </c>
      <c r="J164" s="25">
        <f>I164*(VLOOKUP(C164,'Rev_Mapping Table'!$A$1:$C$12,3,0))</f>
        <v>71064000</v>
      </c>
      <c r="K164" s="24" t="s">
        <v>32</v>
      </c>
      <c r="L164" s="26">
        <v>0.01</v>
      </c>
      <c r="M164" s="27" t="str">
        <f>VLOOKUP(B164,Master_Mapper!$A$2:$C$628,3,0)</f>
        <v>Pamlico Capital</v>
      </c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</row>
    <row r="165">
      <c r="A165" s="13" t="b">
        <v>0</v>
      </c>
      <c r="B165" s="14" t="s">
        <v>318</v>
      </c>
      <c r="C165" s="15" t="s">
        <v>22</v>
      </c>
      <c r="D165" s="13" t="str">
        <f>vlookup(B165,Vert_Mapper!$A$2:$C$567,3,0)</f>
        <v>Human Resources Technology</v>
      </c>
      <c r="E165" s="13" t="s">
        <v>26</v>
      </c>
      <c r="F165" s="13" t="s">
        <v>18</v>
      </c>
      <c r="G165" s="13" t="str">
        <f t="shared" si="1"/>
        <v>SEVERELY NEGATIVE</v>
      </c>
      <c r="H165" s="13" t="s">
        <v>319</v>
      </c>
      <c r="I165" s="16">
        <f>IFERROR(__xludf.DUMMYFUNCTION("ROUND(
  MAX(
    MIN(
      (
        (VALUE(INDEX(SPLIT(K165,""-""),1)) + VALUE(INDEX(SPLIT(K165,""-""),2))) / 2
      ) *
      IFS(
        L165&gt;0.4, 1.6,
        L165&gt;0.1, 1.3,
        L165&gt;=-0.05, 1,
        L165&gt;=-0.2, 0.85,
        TRUE, 0.7
     "&amp;" ),
      VALUE(INDEX(SPLIT(K165,""-""),2))
    ),
    VALUE(INDEX(SPLIT(K165,""-""),1))
  )
)"),88.0)</f>
        <v>88</v>
      </c>
      <c r="J165" s="17">
        <f>I165*(VLOOKUP(C165,'Rev_Mapping Table'!$A$1:$C$12,3,0))</f>
        <v>49632000</v>
      </c>
      <c r="K165" s="16" t="s">
        <v>32</v>
      </c>
      <c r="L165" s="18">
        <v>-0.23</v>
      </c>
      <c r="M165" s="19" t="str">
        <f>VLOOKUP(B165,Master_Mapper!$A$2:$C$628,3,0)</f>
        <v>Cerity Partners</v>
      </c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>
      <c r="A166" s="21" t="b">
        <v>0</v>
      </c>
      <c r="B166" s="31" t="s">
        <v>320</v>
      </c>
      <c r="C166" s="23" t="s">
        <v>22</v>
      </c>
      <c r="D166" s="21" t="str">
        <f>vlookup(B166,Vert_Mapper!$A$2:$C$567,3,0)</f>
        <v>Software &amp; SaaS</v>
      </c>
      <c r="E166" s="21" t="s">
        <v>26</v>
      </c>
      <c r="F166" s="21" t="s">
        <v>18</v>
      </c>
      <c r="G166" s="21" t="str">
        <f t="shared" si="1"/>
        <v>GROWTH PHASE</v>
      </c>
      <c r="H166" s="21" t="s">
        <v>321</v>
      </c>
      <c r="I166" s="24">
        <f>IFERROR(__xludf.DUMMYFUNCTION("ROUND(
  MAX(
    MIN(
      (
        (VALUE(INDEX(SPLIT(K166,""-""),1)) + VALUE(INDEX(SPLIT(K166,""-""),2))) / 2
      ) *
      IFS(
        L166&gt;0.4, 1.6,
        L166&gt;0.1, 1.3,
        L166&gt;=-0.05, 1,
        L166&gt;=-0.2, 0.85,
        TRUE, 0.7
     "&amp;" ),
      VALUE(INDEX(SPLIT(K166,""-""),2))
    ),
    VALUE(INDEX(SPLIT(K166,""-""),1))
  )
)"),31.0)</f>
        <v>31</v>
      </c>
      <c r="J166" s="25">
        <f>I166*(VLOOKUP(C166,'Rev_Mapping Table'!$A$1:$C$12,3,0))</f>
        <v>17484000</v>
      </c>
      <c r="K166" s="24" t="s">
        <v>25</v>
      </c>
      <c r="L166" s="26">
        <v>0.08</v>
      </c>
      <c r="M166" s="27" t="str">
        <f>VLOOKUP(B166,Master_Mapper!$A$2:$C$628,3,0)</f>
        <v>Harbright Ventures</v>
      </c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</row>
    <row r="167">
      <c r="A167" s="13" t="b">
        <v>0</v>
      </c>
      <c r="B167" s="14" t="s">
        <v>322</v>
      </c>
      <c r="C167" s="15" t="s">
        <v>56</v>
      </c>
      <c r="D167" s="13" t="str">
        <f>vlookup(B167,Vert_Mapper!$A$2:$C$567,3,0)</f>
        <v>Consumer Products</v>
      </c>
      <c r="E167" s="13" t="s">
        <v>26</v>
      </c>
      <c r="F167" s="13" t="s">
        <v>18</v>
      </c>
      <c r="G167" s="13" t="str">
        <f t="shared" si="1"/>
        <v>DECLINING</v>
      </c>
      <c r="H167" s="13" t="s">
        <v>323</v>
      </c>
      <c r="I167" s="16">
        <f>IFERROR(__xludf.DUMMYFUNCTION("ROUND(
  MAX(
    MIN(
      (
        (VALUE(INDEX(SPLIT(K167,""-""),1)) + VALUE(INDEX(SPLIT(K167,""-""),2))) / 2
      ) *
      IFS(
        L167&gt;0.4, 1.6,
        L167&gt;0.1, 1.3,
        L167&gt;=-0.05, 1,
        L167&gt;=-0.2, 0.85,
        TRUE, 0.7
     "&amp;" ),
      VALUE(INDEX(SPLIT(K167,""-""),2))
    ),
    VALUE(INDEX(SPLIT(K167,""-""),1))
  )
)"),26.0)</f>
        <v>26</v>
      </c>
      <c r="J167" s="17">
        <f>I167*(VLOOKUP(C167,'Rev_Mapping Table'!$A$1:$C$12,3,0))</f>
        <v>13312000</v>
      </c>
      <c r="K167" s="16" t="s">
        <v>25</v>
      </c>
      <c r="L167" s="18">
        <v>-0.08</v>
      </c>
      <c r="M167" s="19" t="str">
        <f>VLOOKUP(B167,Master_Mapper!$A$2:$C$628,3,0)</f>
        <v>Vibora Capital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>
      <c r="A168" s="21" t="b">
        <v>0</v>
      </c>
      <c r="B168" s="31" t="s">
        <v>324</v>
      </c>
      <c r="C168" s="23" t="s">
        <v>46</v>
      </c>
      <c r="D168" s="21" t="str">
        <f>vlookup(B168,Vert_Mapper!$A$2:$C$567,3,0)</f>
        <v>Biotechnology &amp; Pharmaceuticals</v>
      </c>
      <c r="E168" s="21" t="s">
        <v>26</v>
      </c>
      <c r="F168" s="21" t="s">
        <v>18</v>
      </c>
      <c r="G168" s="21" t="str">
        <f t="shared" si="1"/>
        <v>SEVERELY NEGATIVE</v>
      </c>
      <c r="H168" s="21" t="s">
        <v>325</v>
      </c>
      <c r="I168" s="24">
        <f>IFERROR(__xludf.DUMMYFUNCTION("ROUND(
  MAX(
    MIN(
      (
        (VALUE(INDEX(SPLIT(K168,""-""),1)) + VALUE(INDEX(SPLIT(K168,""-""),2))) / 2
      ) *
      IFS(
        L168&gt;0.4, 1.6,
        L168&gt;0.1, 1.3,
        L168&gt;=-0.05, 1,
        L168&gt;=-0.2, 0.85,
        TRUE, 0.7
     "&amp;" ),
      VALUE(INDEX(SPLIT(K168,""-""),2))
    ),
    VALUE(INDEX(SPLIT(K168,""-""),1))
  )
)"),245.0)</f>
        <v>245</v>
      </c>
      <c r="J168" s="25">
        <f>I168*(VLOOKUP(C168,'Rev_Mapping Table'!$A$1:$C$12,3,0))</f>
        <v>136220000</v>
      </c>
      <c r="K168" s="24" t="s">
        <v>20</v>
      </c>
      <c r="L168" s="26">
        <v>-0.35</v>
      </c>
      <c r="M168" s="27" t="str">
        <f>VLOOKUP(B168,Master_Mapper!$A$2:$C$628,3,0)</f>
        <v>NovaQuest Capital Mgmt</v>
      </c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</row>
    <row r="169">
      <c r="A169" s="13" t="b">
        <v>0</v>
      </c>
      <c r="B169" s="14" t="s">
        <v>326</v>
      </c>
      <c r="C169" s="15" t="s">
        <v>56</v>
      </c>
      <c r="D169" s="13" t="str">
        <f>vlookup(B169,Vert_Mapper!$A$2:$C$567,3,0)</f>
        <v>Consumer Products</v>
      </c>
      <c r="E169" s="13" t="s">
        <v>26</v>
      </c>
      <c r="F169" s="13" t="s">
        <v>18</v>
      </c>
      <c r="G169" s="13" t="str">
        <f t="shared" si="1"/>
        <v>DECLINING</v>
      </c>
      <c r="H169" s="13" t="s">
        <v>73</v>
      </c>
      <c r="I169" s="16">
        <f>IFERROR(__xludf.DUMMYFUNCTION("ROUND(
  MAX(
    MIN(
      (
        (VALUE(INDEX(SPLIT(K169,""-""),1)) + VALUE(INDEX(SPLIT(K169,""-""),2))) / 2
      ) *
      IFS(
        L169&gt;0.4, 1.6,
        L169&gt;0.1, 1.3,
        L169&gt;=-0.05, 1,
        L169&gt;=-0.2, 0.85,
        TRUE, 0.7
     "&amp;" ),
      VALUE(INDEX(SPLIT(K169,""-""),2))
    ),
    VALUE(INDEX(SPLIT(K169,""-""),1))
  )
)"),26.0)</f>
        <v>26</v>
      </c>
      <c r="J169" s="17">
        <f>I169*(VLOOKUP(C169,'Rev_Mapping Table'!$A$1:$C$12,3,0))</f>
        <v>13312000</v>
      </c>
      <c r="K169" s="16" t="s">
        <v>25</v>
      </c>
      <c r="L169" s="18">
        <v>-0.09</v>
      </c>
      <c r="M169" s="19" t="str">
        <f>VLOOKUP(B169,Master_Mapper!$A$2:$C$628,3,0)</f>
        <v>Cerity Partners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</row>
    <row r="170">
      <c r="A170" s="21" t="b">
        <v>0</v>
      </c>
      <c r="B170" s="31" t="s">
        <v>327</v>
      </c>
      <c r="C170" s="23" t="s">
        <v>72</v>
      </c>
      <c r="D170" s="21" t="str">
        <f>vlookup(B170,Vert_Mapper!$A$2:$C$567,3,0)</f>
        <v>Communications Technology</v>
      </c>
      <c r="E170" s="21" t="s">
        <v>26</v>
      </c>
      <c r="F170" s="21" t="s">
        <v>18</v>
      </c>
      <c r="G170" s="21" t="str">
        <f t="shared" si="1"/>
        <v>FLAT TO NEUTRAL</v>
      </c>
      <c r="H170" s="21" t="s">
        <v>328</v>
      </c>
      <c r="I170" s="24">
        <f>IFERROR(__xludf.DUMMYFUNCTION("ROUND(
  MAX(
    MIN(
      (
        (VALUE(INDEX(SPLIT(K170,""-""),1)) + VALUE(INDEX(SPLIT(K170,""-""),2))) / 2
      ) *
      IFS(
        L170&gt;0.4, 1.6,
        L170&gt;0.1, 1.3,
        L170&gt;=-0.05, 1,
        L170&gt;=-0.2, 0.85,
        TRUE, 0.7
     "&amp;" ),
      VALUE(INDEX(SPLIT(K170,""-""),2))
    ),
    VALUE(INDEX(SPLIT(K170,""-""),1))
  )
)"),3001.0)</f>
        <v>3001</v>
      </c>
      <c r="J170" s="25">
        <f>I170*(VLOOKUP(C170,'Rev_Mapping Table'!$A$1:$C$12,3,0))</f>
        <v>1692564000</v>
      </c>
      <c r="K170" s="24" t="s">
        <v>96</v>
      </c>
      <c r="L170" s="26">
        <v>0.03</v>
      </c>
      <c r="M170" s="27" t="str">
        <f>VLOOKUP(B170,Master_Mapper!$A$2:$C$628,3,0)</f>
        <v>Cerity Partners</v>
      </c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</row>
    <row r="171">
      <c r="A171" s="13" t="b">
        <v>0</v>
      </c>
      <c r="B171" s="14" t="s">
        <v>329</v>
      </c>
      <c r="C171" s="15" t="s">
        <v>46</v>
      </c>
      <c r="D171" s="13" t="str">
        <f>vlookup(B171,Vert_Mapper!$A$2:$C$567,3,0)</f>
        <v>Biotechnology &amp; Pharmaceuticals</v>
      </c>
      <c r="E171" s="13" t="s">
        <v>85</v>
      </c>
      <c r="F171" s="13" t="s">
        <v>86</v>
      </c>
      <c r="G171" s="13" t="str">
        <f t="shared" si="1"/>
        <v>ACCELERATED GROWTH</v>
      </c>
      <c r="H171" s="13" t="s">
        <v>66</v>
      </c>
      <c r="I171" s="16">
        <f>IFERROR(__xludf.DUMMYFUNCTION("ROUND(
  MAX(
    MIN(
      (
        (VALUE(INDEX(SPLIT(K171,""-""),1)) + VALUE(INDEX(SPLIT(K171,""-""),2))) / 2
      ) *
      IFS(
        L171&gt;0.4, 1.6,
        L171&gt;0.1, 1.3,
        L171&gt;=-0.05, 1,
        L171&gt;=-0.2, 0.85,
        TRUE, 0.7
     "&amp;" ),
      VALUE(INDEX(SPLIT(K171,""-""),2))
    ),
    VALUE(INDEX(SPLIT(K171,""-""),1))
  )
)"),40.0)</f>
        <v>40</v>
      </c>
      <c r="J171" s="17">
        <f>I171*(VLOOKUP(C171,'Rev_Mapping Table'!$A$1:$C$12,3,0))</f>
        <v>22240000</v>
      </c>
      <c r="K171" s="16" t="s">
        <v>25</v>
      </c>
      <c r="L171" s="18">
        <v>0.27</v>
      </c>
      <c r="M171" s="19" t="str">
        <f>VLOOKUP(B171,Master_Mapper!$A$2:$C$628,3,0)</f>
        <v>Eshelman Ventures, LLC</v>
      </c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</row>
    <row r="172">
      <c r="A172" s="21" t="b">
        <v>0</v>
      </c>
      <c r="B172" s="31" t="s">
        <v>330</v>
      </c>
      <c r="C172" s="23" t="s">
        <v>16</v>
      </c>
      <c r="D172" s="21" t="str">
        <f>vlookup(B172,Vert_Mapper!$A$2:$C$567,3,0)</f>
        <v>Manufacturing &amp; Processing</v>
      </c>
      <c r="E172" s="21" t="s">
        <v>26</v>
      </c>
      <c r="F172" s="21" t="s">
        <v>18</v>
      </c>
      <c r="G172" s="21" t="str">
        <f t="shared" si="1"/>
        <v>FLAT TO NEUTRAL</v>
      </c>
      <c r="H172" s="21" t="s">
        <v>331</v>
      </c>
      <c r="I172" s="24">
        <f>IFERROR(__xludf.DUMMYFUNCTION("ROUND(
  MAX(
    MIN(
      (
        (VALUE(INDEX(SPLIT(K172,""-""),1)) + VALUE(INDEX(SPLIT(K172,""-""),2))) / 2
      ) *
      IFS(
        L172&gt;0.4, 1.6,
        L172&gt;0.1, 1.3,
        L172&gt;=-0.05, 1,
        L172&gt;=-0.2, 0.85,
        TRUE, 0.7
     "&amp;" ),
      VALUE(INDEX(SPLIT(K172,""-""),2))
    ),
    VALUE(INDEX(SPLIT(K172,""-""),1))
  )
)"),31.0)</f>
        <v>31</v>
      </c>
      <c r="J172" s="25">
        <f>I172*(VLOOKUP(C172,'Rev_Mapping Table'!$A$1:$C$12,3,0))</f>
        <v>15283000</v>
      </c>
      <c r="K172" s="24" t="s">
        <v>25</v>
      </c>
      <c r="L172" s="26">
        <v>0.0</v>
      </c>
      <c r="M172" s="27" t="str">
        <f>VLOOKUP(B172,Master_Mapper!$A$2:$C$628,3,0)</f>
        <v>Cerity Partners</v>
      </c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</row>
    <row r="173">
      <c r="A173" s="13" t="b">
        <v>0</v>
      </c>
      <c r="B173" s="14" t="s">
        <v>332</v>
      </c>
      <c r="C173" s="15" t="s">
        <v>72</v>
      </c>
      <c r="D173" s="13" t="str">
        <f>vlookup(B173,Vert_Mapper!$A$2:$C$567,3,0)</f>
        <v>Communications Technology</v>
      </c>
      <c r="E173" s="13" t="s">
        <v>26</v>
      </c>
      <c r="F173" s="13" t="s">
        <v>18</v>
      </c>
      <c r="G173" s="13" t="str">
        <f t="shared" si="1"/>
        <v>ACCELERATED GROWTH</v>
      </c>
      <c r="H173" s="13" t="s">
        <v>24</v>
      </c>
      <c r="I173" s="16">
        <f>IFERROR(__xludf.DUMMYFUNCTION("ROUND(
  MAX(
    MIN(
      (
        (VALUE(INDEX(SPLIT(K173,""-""),1)) + VALUE(INDEX(SPLIT(K173,""-""),2))) / 2
      ) *
      IFS(
        L173&gt;0.4, 1.6,
        L173&gt;0.1, 1.3,
        L173&gt;=-0.05, 1,
        L173&gt;=-0.2, 0.85,
        TRUE, 0.7
     "&amp;" ),
      VALUE(INDEX(SPLIT(K173,""-""),2))
    ),
    VALUE(INDEX(SPLIT(K173,""-""),1))
  )
)"),976.0)</f>
        <v>976</v>
      </c>
      <c r="J173" s="17">
        <f>I173*(VLOOKUP(C173,'Rev_Mapping Table'!$A$1:$C$12,3,0))</f>
        <v>550464000</v>
      </c>
      <c r="K173" s="16" t="s">
        <v>54</v>
      </c>
      <c r="L173" s="18">
        <v>0.22</v>
      </c>
      <c r="M173" s="19" t="str">
        <f>VLOOKUP(B173,Master_Mapper!$A$2:$C$628,3,0)</f>
        <v>Vibora Capital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</row>
    <row r="174">
      <c r="A174" s="21" t="b">
        <v>0</v>
      </c>
      <c r="B174" s="31" t="s">
        <v>333</v>
      </c>
      <c r="C174" s="23" t="s">
        <v>64</v>
      </c>
      <c r="D174" s="21" t="str">
        <f>vlookup(B174,Vert_Mapper!$A$2:$C$567,3,0)</f>
        <v>#N/A</v>
      </c>
      <c r="E174" s="21" t="s">
        <v>29</v>
      </c>
      <c r="F174" s="21" t="s">
        <v>34</v>
      </c>
      <c r="G174" s="21" t="str">
        <f t="shared" si="1"/>
        <v>FLAT TO NEUTRAL</v>
      </c>
      <c r="H174" s="21" t="s">
        <v>51</v>
      </c>
      <c r="I174" s="24">
        <f>IFERROR(__xludf.DUMMYFUNCTION("ROUND(
  MAX(
    MIN(
      (
        (VALUE(INDEX(SPLIT(K174,""-""),1)) + VALUE(INDEX(SPLIT(K174,""-""),2))) / 2
      ) *
      IFS(
        L174&gt;0.4, 1.6,
        L174&gt;0.1, 1.3,
        L174&gt;=-0.05, 1,
        L174&gt;=-0.2, 0.85,
        TRUE, 0.7
     "&amp;" ),
      VALUE(INDEX(SPLIT(K174,""-""),2))
    ),
    VALUE(INDEX(SPLIT(K174,""-""),1))
  )
)"),31.0)</f>
        <v>31</v>
      </c>
      <c r="J174" s="25">
        <f>I174*(VLOOKUP(C174,'Rev_Mapping Table'!$A$1:$C$12,3,0))</f>
        <v>15283000</v>
      </c>
      <c r="K174" s="24" t="s">
        <v>25</v>
      </c>
      <c r="L174" s="26">
        <v>0.0</v>
      </c>
      <c r="M174" s="27" t="str">
        <f>VLOOKUP(B174,Master_Mapper!$A$2:$C$628,3,0)</f>
        <v>Envest Capital Partners</v>
      </c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</row>
    <row r="175">
      <c r="A175" s="13" t="b">
        <v>0</v>
      </c>
      <c r="B175" s="14" t="s">
        <v>334</v>
      </c>
      <c r="C175" s="15" t="s">
        <v>22</v>
      </c>
      <c r="D175" s="13" t="str">
        <f>vlookup(B175,Vert_Mapper!$A$2:$C$567,3,0)</f>
        <v>Legal Technology</v>
      </c>
      <c r="E175" s="13" t="s">
        <v>26</v>
      </c>
      <c r="F175" s="13" t="s">
        <v>18</v>
      </c>
      <c r="G175" s="13" t="str">
        <f t="shared" si="1"/>
        <v>ACCELERATED GROWTH</v>
      </c>
      <c r="H175" s="13" t="s">
        <v>83</v>
      </c>
      <c r="I175" s="16">
        <f>IFERROR(__xludf.DUMMYFUNCTION("ROUND(
  MAX(
    MIN(
      (
        (VALUE(INDEX(SPLIT(K175,""-""),1)) + VALUE(INDEX(SPLIT(K175,""-""),2))) / 2
      ) *
      IFS(
        L175&gt;0.4, 1.6,
        L175&gt;0.1, 1.3,
        L175&gt;=-0.05, 1,
        L175&gt;=-0.2, 0.85,
        TRUE, 0.7
     "&amp;" ),
      VALUE(INDEX(SPLIT(K175,""-""),2))
    ),
    VALUE(INDEX(SPLIT(K175,""-""),1))
  )
)"),163.0)</f>
        <v>163</v>
      </c>
      <c r="J175" s="17">
        <f>I175*(VLOOKUP(C175,'Rev_Mapping Table'!$A$1:$C$12,3,0))</f>
        <v>91932000</v>
      </c>
      <c r="K175" s="16" t="s">
        <v>32</v>
      </c>
      <c r="L175" s="18">
        <v>0.28</v>
      </c>
      <c r="M175" s="19" t="str">
        <f>VLOOKUP(B175,Master_Mapper!$A$2:$C$628,3,0)</f>
        <v>Cerity Partners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</row>
    <row r="176">
      <c r="A176" s="21" t="b">
        <v>0</v>
      </c>
      <c r="B176" s="31" t="s">
        <v>335</v>
      </c>
      <c r="C176" s="23" t="s">
        <v>64</v>
      </c>
      <c r="D176" s="21" t="str">
        <f>vlookup(B176,Vert_Mapper!$A$2:$C$567,3,0)</f>
        <v>Building Materials &amp; Construction</v>
      </c>
      <c r="E176" s="21" t="s">
        <v>26</v>
      </c>
      <c r="F176" s="21" t="s">
        <v>18</v>
      </c>
      <c r="G176" s="21" t="str">
        <f t="shared" si="1"/>
        <v>FLAT TO NEUTRAL</v>
      </c>
      <c r="H176" s="21" t="s">
        <v>336</v>
      </c>
      <c r="I176" s="24">
        <f>IFERROR(__xludf.DUMMYFUNCTION("ROUND(
  MAX(
    MIN(
      (
        (VALUE(INDEX(SPLIT(K176,""-""),1)) + VALUE(INDEX(SPLIT(K176,""-""),2))) / 2
      ) *
      IFS(
        L176&gt;0.4, 1.6,
        L176&gt;0.1, 1.3,
        L176&gt;=-0.05, 1,
        L176&gt;=-0.2, 0.85,
        TRUE, 0.7
     "&amp;" ),
      VALUE(INDEX(SPLIT(K176,""-""),2))
    ),
    VALUE(INDEX(SPLIT(K176,""-""),1))
  )
)"),751.0)</f>
        <v>751</v>
      </c>
      <c r="J176" s="25">
        <f>I176*(VLOOKUP(C176,'Rev_Mapping Table'!$A$1:$C$12,3,0))</f>
        <v>370243000</v>
      </c>
      <c r="K176" s="24" t="s">
        <v>54</v>
      </c>
      <c r="L176" s="26">
        <v>0.01</v>
      </c>
      <c r="M176" s="27" t="str">
        <f>VLOOKUP(B176,Master_Mapper!$A$2:$C$628,3,0)</f>
        <v>Vibora Capital</v>
      </c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</row>
    <row r="177">
      <c r="A177" s="13" t="b">
        <v>0</v>
      </c>
      <c r="B177" s="14" t="s">
        <v>337</v>
      </c>
      <c r="C177" s="15" t="s">
        <v>72</v>
      </c>
      <c r="D177" s="13" t="str">
        <f>vlookup(B177,Vert_Mapper!$A$2:$C$567,3,0)</f>
        <v>Media &amp; Entertainment</v>
      </c>
      <c r="E177" s="13" t="s">
        <v>26</v>
      </c>
      <c r="F177" s="13" t="s">
        <v>18</v>
      </c>
      <c r="G177" s="13" t="str">
        <f t="shared" si="1"/>
        <v>SEVERELY NEGATIVE</v>
      </c>
      <c r="H177" s="13" t="s">
        <v>83</v>
      </c>
      <c r="I177" s="16">
        <f>IFERROR(__xludf.DUMMYFUNCTION("ROUND(
  MAX(
    MIN(
      (
        (VALUE(INDEX(SPLIT(K177,""-""),1)) + VALUE(INDEX(SPLIT(K177,""-""),2))) / 2
      ) *
      IFS(
        L177&gt;0.4, 1.6,
        L177&gt;0.1, 1.3,
        L177&gt;=-0.05, 1,
        L177&gt;=-0.2, 0.85,
        TRUE, 0.7
     "&amp;" ),
      VALUE(INDEX(SPLIT(K177,""-""),2))
    ),
    VALUE(INDEX(SPLIT(K177,""-""),1))
  )
)"),88.0)</f>
        <v>88</v>
      </c>
      <c r="J177" s="17">
        <f>I177*(VLOOKUP(C177,'Rev_Mapping Table'!$A$1:$C$12,3,0))</f>
        <v>49632000</v>
      </c>
      <c r="K177" s="16" t="s">
        <v>32</v>
      </c>
      <c r="L177" s="18">
        <v>-0.24</v>
      </c>
      <c r="M177" s="19" t="str">
        <f>VLOOKUP(B177,Master_Mapper!$A$2:$C$628,3,0)</f>
        <v>Cerity Partners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</row>
    <row r="178">
      <c r="A178" s="21" t="b">
        <v>0</v>
      </c>
      <c r="B178" s="31" t="s">
        <v>338</v>
      </c>
      <c r="C178" s="23" t="s">
        <v>16</v>
      </c>
      <c r="D178" s="21" t="str">
        <f>vlookup(B178,Vert_Mapper!$A$2:$C$567,3,0)</f>
        <v>Industrial Equipment &amp; Services</v>
      </c>
      <c r="E178" s="21" t="s">
        <v>65</v>
      </c>
      <c r="F178" s="21" t="s">
        <v>18</v>
      </c>
      <c r="G178" s="21" t="str">
        <f t="shared" si="1"/>
        <v>GROWTH PHASE</v>
      </c>
      <c r="H178" s="21" t="s">
        <v>339</v>
      </c>
      <c r="I178" s="24">
        <f>IFERROR(__xludf.DUMMYFUNCTION("ROUND(
  MAX(
    MIN(
      (
        (VALUE(INDEX(SPLIT(K178,""-""),1)) + VALUE(INDEX(SPLIT(K178,""-""),2))) / 2
      ) *
      IFS(
        L178&gt;0.4, 1.6,
        L178&gt;0.1, 1.3,
        L178&gt;=-0.05, 1,
        L178&gt;=-0.2, 0.85,
        TRUE, 0.7
     "&amp;" ),
      VALUE(INDEX(SPLIT(K178,""-""),2))
    ),
    VALUE(INDEX(SPLIT(K178,""-""),1))
  )
)"),351.0)</f>
        <v>351</v>
      </c>
      <c r="J178" s="25">
        <f>I178*(VLOOKUP(C178,'Rev_Mapping Table'!$A$1:$C$12,3,0))</f>
        <v>173043000</v>
      </c>
      <c r="K178" s="24" t="s">
        <v>20</v>
      </c>
      <c r="L178" s="26">
        <v>0.07</v>
      </c>
      <c r="M178" s="27" t="str">
        <f>VLOOKUP(B178,Master_Mapper!$A$2:$C$628,3,0)</f>
        <v>Falfurrias Capital Partners</v>
      </c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</row>
    <row r="179">
      <c r="A179" s="13" t="b">
        <v>0</v>
      </c>
      <c r="B179" s="14" t="s">
        <v>340</v>
      </c>
      <c r="C179" s="15" t="s">
        <v>38</v>
      </c>
      <c r="D179" s="13" t="str">
        <f>vlookup(B179,Vert_Mapper!$A$2:$C$567,3,0)</f>
        <v>Venture Capital &amp; Private Equity</v>
      </c>
      <c r="E179" s="13" t="s">
        <v>79</v>
      </c>
      <c r="F179" s="13" t="s">
        <v>18</v>
      </c>
      <c r="G179" s="13" t="str">
        <f t="shared" si="1"/>
        <v>SEVERELY NEGATIVE</v>
      </c>
      <c r="H179" s="13" t="s">
        <v>341</v>
      </c>
      <c r="I179" s="16">
        <f>IFERROR(__xludf.DUMMYFUNCTION("ROUND(
  MAX(
    MIN(
      (
        (VALUE(INDEX(SPLIT(K179,""-""),1)) + VALUE(INDEX(SPLIT(K179,""-""),2))) / 2
      ) *
      IFS(
        L179&gt;0.4, 1.6,
        L179&gt;0.1, 1.3,
        L179&gt;=-0.05, 1,
        L179&gt;=-0.2, 0.85,
        TRUE, 0.7
     "&amp;" ),
      VALUE(INDEX(SPLIT(K179,""-""),2))
    ),
    VALUE(INDEX(SPLIT(K179,""-""),1))
  )
)"),88.0)</f>
        <v>88</v>
      </c>
      <c r="J179" s="17">
        <f>I179*(VLOOKUP(C179,'Rev_Mapping Table'!$A$1:$C$12,3,0))</f>
        <v>79640000</v>
      </c>
      <c r="K179" s="16" t="s">
        <v>32</v>
      </c>
      <c r="L179" s="18">
        <v>-0.29</v>
      </c>
      <c r="M179" s="19" t="str">
        <f>VLOOKUP(B179,Master_Mapper!$A$2:$C$628,3,0)</f>
        <v>EF Capital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</row>
    <row r="180">
      <c r="A180" s="21" t="b">
        <v>0</v>
      </c>
      <c r="B180" s="31" t="s">
        <v>342</v>
      </c>
      <c r="C180" s="23" t="s">
        <v>64</v>
      </c>
      <c r="D180" s="21" t="str">
        <f>vlookup(B180,Vert_Mapper!$A$2:$C$567,3,0)</f>
        <v>Agriculture Technology</v>
      </c>
      <c r="E180" s="21" t="s">
        <v>26</v>
      </c>
      <c r="F180" s="21" t="s">
        <v>18</v>
      </c>
      <c r="G180" s="21" t="str">
        <f t="shared" si="1"/>
        <v>DECLINING</v>
      </c>
      <c r="H180" s="21" t="s">
        <v>343</v>
      </c>
      <c r="I180" s="24">
        <f>IFERROR(__xludf.DUMMYFUNCTION("ROUND(
  MAX(
    MIN(
      (
        (VALUE(INDEX(SPLIT(K180,""-""),1)) + VALUE(INDEX(SPLIT(K180,""-""),2))) / 2
      ) *
      IFS(
        L180&gt;0.4, 1.6,
        L180&gt;0.1, 1.3,
        L180&gt;=-0.05, 1,
        L180&gt;=-0.2, 0.85,
        TRUE, 0.7
     "&amp;" ),
      VALUE(INDEX(SPLIT(K180,""-""),2))
    ),
    VALUE(INDEX(SPLIT(K180,""-""),1))
  )
)"),107.0)</f>
        <v>107</v>
      </c>
      <c r="J180" s="25">
        <f>I180*(VLOOKUP(C180,'Rev_Mapping Table'!$A$1:$C$12,3,0))</f>
        <v>52751000</v>
      </c>
      <c r="K180" s="24" t="s">
        <v>32</v>
      </c>
      <c r="L180" s="26">
        <v>-0.15</v>
      </c>
      <c r="M180" s="27" t="str">
        <f>VLOOKUP(B180,Master_Mapper!$A$2:$C$628,3,0)</f>
        <v>Cerity Partners</v>
      </c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</row>
    <row r="181">
      <c r="A181" s="13" t="b">
        <v>0</v>
      </c>
      <c r="B181" s="14" t="s">
        <v>344</v>
      </c>
      <c r="C181" s="15" t="s">
        <v>22</v>
      </c>
      <c r="D181" s="13" t="str">
        <f>vlookup(B181,Vert_Mapper!$A$2:$C$567,3,0)</f>
        <v>Education Technology</v>
      </c>
      <c r="E181" s="13" t="s">
        <v>26</v>
      </c>
      <c r="F181" s="13" t="s">
        <v>18</v>
      </c>
      <c r="G181" s="13" t="str">
        <f t="shared" si="1"/>
        <v>FLAT TO NEUTRAL</v>
      </c>
      <c r="H181" s="13" t="s">
        <v>31</v>
      </c>
      <c r="I181" s="16">
        <f>IFERROR(__xludf.DUMMYFUNCTION("ROUND(
  MAX(
    MIN(
      (
        (VALUE(INDEX(SPLIT(K181,""-""),1)) + VALUE(INDEX(SPLIT(K181,""-""),2))) / 2
      ) *
      IFS(
        L181&gt;0.4, 1.6,
        L181&gt;0.1, 1.3,
        L181&gt;=-0.05, 1,
        L181&gt;=-0.2, 0.85,
        TRUE, 0.7
     "&amp;" ),
      VALUE(INDEX(SPLIT(K181,""-""),2))
    ),
    VALUE(INDEX(SPLIT(K181,""-""),1))
  )
)"),31.0)</f>
        <v>31</v>
      </c>
      <c r="J181" s="17">
        <f>I181*(VLOOKUP(C181,'Rev_Mapping Table'!$A$1:$C$12,3,0))</f>
        <v>17484000</v>
      </c>
      <c r="K181" s="16" t="s">
        <v>25</v>
      </c>
      <c r="L181" s="18">
        <v>0.03</v>
      </c>
      <c r="M181" s="19" t="str">
        <f>VLOOKUP(B181,Master_Mapper!$A$2:$C$628,3,0)</f>
        <v>Cock Island Capital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</row>
    <row r="182">
      <c r="A182" s="21" t="b">
        <v>0</v>
      </c>
      <c r="B182" s="31" t="s">
        <v>345</v>
      </c>
      <c r="C182" s="23" t="s">
        <v>22</v>
      </c>
      <c r="D182" s="21" t="str">
        <f>vlookup(B182,Vert_Mapper!$A$2:$C$567,3,0)</f>
        <v>Artificial Intelligence &amp; Machine Learning</v>
      </c>
      <c r="E182" s="21" t="s">
        <v>26</v>
      </c>
      <c r="F182" s="21" t="s">
        <v>18</v>
      </c>
      <c r="G182" s="21" t="str">
        <f t="shared" si="1"/>
        <v>DECLINING</v>
      </c>
      <c r="H182" s="21" t="s">
        <v>319</v>
      </c>
      <c r="I182" s="24">
        <f>IFERROR(__xludf.DUMMYFUNCTION("ROUND(
  MAX(
    MIN(
      (
        (VALUE(INDEX(SPLIT(K182,""-""),1)) + VALUE(INDEX(SPLIT(K182,""-""),2))) / 2
      ) *
      IFS(
        L182&gt;0.4, 1.6,
        L182&gt;0.1, 1.3,
        L182&gt;=-0.05, 1,
        L182&gt;=-0.2, 0.85,
        TRUE, 0.7
     "&amp;" ),
      VALUE(INDEX(SPLIT(K182,""-""),2))
    ),
    VALUE(INDEX(SPLIT(K182,""-""),1))
  )
)"),107.0)</f>
        <v>107</v>
      </c>
      <c r="J182" s="25">
        <f>I182*(VLOOKUP(C182,'Rev_Mapping Table'!$A$1:$C$12,3,0))</f>
        <v>60348000</v>
      </c>
      <c r="K182" s="24" t="s">
        <v>32</v>
      </c>
      <c r="L182" s="26">
        <v>-0.07</v>
      </c>
      <c r="M182" s="27" t="str">
        <f>VLOOKUP(B182,Master_Mapper!$A$2:$C$628,3,0)</f>
        <v>Cerity Partners</v>
      </c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</row>
    <row r="183">
      <c r="A183" s="13" t="b">
        <v>0</v>
      </c>
      <c r="B183" s="14" t="s">
        <v>346</v>
      </c>
      <c r="C183" s="15" t="s">
        <v>16</v>
      </c>
      <c r="D183" s="13" t="str">
        <f>vlookup(B183,Vert_Mapper!$A$2:$C$567,3,0)</f>
        <v>Manufacturing &amp; Processing</v>
      </c>
      <c r="E183" s="13" t="s">
        <v>138</v>
      </c>
      <c r="F183" s="13" t="s">
        <v>18</v>
      </c>
      <c r="G183" s="13" t="str">
        <f t="shared" si="1"/>
        <v>GROWTH PHASE</v>
      </c>
      <c r="H183" s="13" t="s">
        <v>155</v>
      </c>
      <c r="I183" s="16">
        <f>IFERROR(__xludf.DUMMYFUNCTION("ROUND(
  MAX(
    MIN(
      (
        (VALUE(INDEX(SPLIT(K183,""-""),1)) + VALUE(INDEX(SPLIT(K183,""-""),2))) / 2
      ) *
      IFS(
        L183&gt;0.4, 1.6,
        L183&gt;0.1, 1.3,
        L183&gt;=-0.05, 1,
        L183&gt;=-0.2, 0.85,
        TRUE, 0.7
     "&amp;" ),
      VALUE(INDEX(SPLIT(K183,""-""),2))
    ),
    VALUE(INDEX(SPLIT(K183,""-""),1))
  )
)"),976.0)</f>
        <v>976</v>
      </c>
      <c r="J183" s="17">
        <f>I183*(VLOOKUP(C183,'Rev_Mapping Table'!$A$1:$C$12,3,0))</f>
        <v>481168000</v>
      </c>
      <c r="K183" s="16" t="s">
        <v>54</v>
      </c>
      <c r="L183" s="18">
        <v>0.16</v>
      </c>
      <c r="M183" s="19" t="str">
        <f>VLOOKUP(B183,Master_Mapper!$A$2:$C$628,3,0)</f>
        <v>Monomoy Capital Partners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</row>
    <row r="184">
      <c r="A184" s="21" t="b">
        <v>0</v>
      </c>
      <c r="B184" s="31" t="s">
        <v>347</v>
      </c>
      <c r="C184" s="23" t="s">
        <v>56</v>
      </c>
      <c r="D184" s="21" t="str">
        <f>vlookup(B184,Vert_Mapper!$A$2:$C$567,3,0)</f>
        <v>Restaurants &amp; Food Services</v>
      </c>
      <c r="E184" s="21" t="s">
        <v>175</v>
      </c>
      <c r="F184" s="21" t="s">
        <v>34</v>
      </c>
      <c r="G184" s="21" t="str">
        <f t="shared" si="1"/>
        <v>GROWTH PHASE</v>
      </c>
      <c r="H184" s="21" t="s">
        <v>236</v>
      </c>
      <c r="I184" s="24">
        <f>IFERROR(__xludf.DUMMYFUNCTION("ROUND(
  MAX(
    MIN(
      (
        (VALUE(INDEX(SPLIT(K184,""-""),1)) + VALUE(INDEX(SPLIT(K184,""-""),2))) / 2
      ) *
      IFS(
        L184&gt;0.4, 1.6,
        L184&gt;0.1, 1.3,
        L184&gt;=-0.05, 1,
        L184&gt;=-0.2, 0.85,
        TRUE, 0.7
     "&amp;" ),
      VALUE(INDEX(SPLIT(K184,""-""),2))
    ),
    VALUE(INDEX(SPLIT(K184,""-""),1))
  )
)"),40.0)</f>
        <v>40</v>
      </c>
      <c r="J184" s="25">
        <f>I184*(VLOOKUP(C184,'Rev_Mapping Table'!$A$1:$C$12,3,0))</f>
        <v>20480000</v>
      </c>
      <c r="K184" s="24" t="s">
        <v>25</v>
      </c>
      <c r="L184" s="26">
        <v>0.14</v>
      </c>
      <c r="M184" s="27" t="str">
        <f>VLOOKUP(B184,Master_Mapper!$A$2:$C$628,3,0)</f>
        <v>WJ Partners</v>
      </c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</row>
    <row r="185">
      <c r="A185" s="13" t="b">
        <v>0</v>
      </c>
      <c r="B185" s="14" t="s">
        <v>348</v>
      </c>
      <c r="C185" s="15" t="s">
        <v>111</v>
      </c>
      <c r="D185" s="13" t="str">
        <f>vlookup(B185,Vert_Mapper!$A$2:$C$567,3,0)</f>
        <v>#N/A</v>
      </c>
      <c r="E185" s="13" t="s">
        <v>26</v>
      </c>
      <c r="F185" s="13" t="s">
        <v>18</v>
      </c>
      <c r="G185" s="13" t="str">
        <f t="shared" si="1"/>
        <v>GROWTH PHASE</v>
      </c>
      <c r="H185" s="13" t="s">
        <v>349</v>
      </c>
      <c r="I185" s="16">
        <f>IFERROR(__xludf.DUMMYFUNCTION("ROUND(
  MAX(
    MIN(
      (
        (VALUE(INDEX(SPLIT(K185,""-""),1)) + VALUE(INDEX(SPLIT(K185,""-""),2))) / 2
      ) *
      IFS(
        L185&gt;0.4, 1.6,
        L185&gt;0.1, 1.3,
        L185&gt;=-0.05, 1,
        L185&gt;=-0.2, 0.85,
        TRUE, 0.7
     "&amp;" ),
      VALUE(INDEX(SPLIT(K185,""-""),2))
    ),
    VALUE(INDEX(SPLIT(K185,""-""),1))
  )
)"),40.0)</f>
        <v>40</v>
      </c>
      <c r="J185" s="17">
        <f>I185*(VLOOKUP(C185,'Rev_Mapping Table'!$A$1:$C$12,3,0))</f>
        <v>22240000</v>
      </c>
      <c r="K185" s="16" t="s">
        <v>25</v>
      </c>
      <c r="L185" s="18">
        <v>0.13</v>
      </c>
      <c r="M185" s="19" t="str">
        <f>VLOOKUP(B185,Master_Mapper!$A$2:$C$628,3,0)</f>
        <v>Vibora Capital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</row>
    <row r="186">
      <c r="A186" s="21" t="b">
        <v>0</v>
      </c>
      <c r="B186" s="31" t="s">
        <v>350</v>
      </c>
      <c r="C186" s="23" t="s">
        <v>22</v>
      </c>
      <c r="D186" s="21" t="str">
        <f>vlookup(B186,Vert_Mapper!$A$2:$C$567,3,0)</f>
        <v>Software &amp; SaaS</v>
      </c>
      <c r="E186" s="21" t="s">
        <v>26</v>
      </c>
      <c r="F186" s="21" t="s">
        <v>18</v>
      </c>
      <c r="G186" s="21" t="str">
        <f t="shared" si="1"/>
        <v>HYPERGROWTH</v>
      </c>
      <c r="H186" s="21" t="s">
        <v>131</v>
      </c>
      <c r="I186" s="24" t="str">
        <f>IFERROR(__xludf.DUMMYFUNCTION("ROUND(
  MAX(
    MIN(
      (
        (VALUE(INDEX(SPLIT(K186,""-""),1)) + VALUE(INDEX(SPLIT(K186,""-""),2))) / 2
      ) *
      IFS(
        L186&gt;0.4, 1.6,
        L186&gt;0.1, 1.3,
        L186&gt;=-0.05, 1,
        L186&gt;=-0.2, 0.85,
        TRUE, 0.7
     "&amp;" ),
      VALUE(INDEX(SPLIT(K186,""-""),2))
    ),
    VALUE(INDEX(SPLIT(K186,""-""),1))
  )
)"),"#VALUE!")</f>
        <v>#VALUE!</v>
      </c>
      <c r="J186" s="25" t="str">
        <f>I186*(VLOOKUP(C186,'Rev_Mapping Table'!$A$1:$C$12,3,0))</f>
        <v>#VALUE!</v>
      </c>
      <c r="K186" s="35" t="s">
        <v>131</v>
      </c>
      <c r="L186" s="35" t="s">
        <v>131</v>
      </c>
      <c r="M186" s="27" t="str">
        <f>VLOOKUP(B186,Master_Mapper!$A$2:$C$628,3,0)</f>
        <v>VentureSouth</v>
      </c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</row>
    <row r="187">
      <c r="A187" s="13" t="b">
        <v>0</v>
      </c>
      <c r="B187" s="14" t="s">
        <v>351</v>
      </c>
      <c r="C187" s="15" t="s">
        <v>16</v>
      </c>
      <c r="D187" s="13" t="str">
        <f>vlookup(B187,Vert_Mapper!$A$2:$C$567,3,0)</f>
        <v>Industrial Equipment &amp; Services</v>
      </c>
      <c r="E187" s="13" t="s">
        <v>26</v>
      </c>
      <c r="F187" s="13" t="s">
        <v>18</v>
      </c>
      <c r="G187" s="13" t="str">
        <f t="shared" si="1"/>
        <v>ACCELERATED GROWTH</v>
      </c>
      <c r="H187" s="13" t="s">
        <v>352</v>
      </c>
      <c r="I187" s="16">
        <f>IFERROR(__xludf.DUMMYFUNCTION("ROUND(
  MAX(
    MIN(
      (
        (VALUE(INDEX(SPLIT(K187,""-""),1)) + VALUE(INDEX(SPLIT(K187,""-""),2))) / 2
      ) *
      IFS(
        L187&gt;0.4, 1.6,
        L187&gt;0.1, 1.3,
        L187&gt;=-0.05, 1,
        L187&gt;=-0.2, 0.85,
        TRUE, 0.7
     "&amp;" ),
      VALUE(INDEX(SPLIT(K187,""-""),2))
    ),
    VALUE(INDEX(SPLIT(K187,""-""),1))
  )
)"),500.0)</f>
        <v>500</v>
      </c>
      <c r="J187" s="17">
        <f>I187*(VLOOKUP(C187,'Rev_Mapping Table'!$A$1:$C$12,3,0))</f>
        <v>246500000</v>
      </c>
      <c r="K187" s="16" t="s">
        <v>20</v>
      </c>
      <c r="L187" s="18">
        <v>0.47</v>
      </c>
      <c r="M187" s="19" t="str">
        <f>VLOOKUP(B187,Master_Mapper!$A$2:$C$628,3,0)</f>
        <v>QHP Capital</v>
      </c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</row>
    <row r="188">
      <c r="A188" s="21" t="b">
        <v>0</v>
      </c>
      <c r="B188" s="31" t="s">
        <v>353</v>
      </c>
      <c r="C188" s="23" t="s">
        <v>42</v>
      </c>
      <c r="D188" s="21" t="str">
        <f>vlookup(B188,Vert_Mapper!$A$2:$C$567,3,0)</f>
        <v>Hospitality &amp; Resorts</v>
      </c>
      <c r="E188" s="21" t="s">
        <v>175</v>
      </c>
      <c r="F188" s="21" t="s">
        <v>34</v>
      </c>
      <c r="G188" s="21" t="str">
        <f t="shared" si="1"/>
        <v>GROWTH PHASE</v>
      </c>
      <c r="H188" s="21" t="s">
        <v>354</v>
      </c>
      <c r="I188" s="24">
        <f>IFERROR(__xludf.DUMMYFUNCTION("ROUND(
  MAX(
    MIN(
      (
        (VALUE(INDEX(SPLIT(K188,""-""),1)) + VALUE(INDEX(SPLIT(K188,""-""),2))) / 2
      ) *
      IFS(
        L188&gt;0.4, 1.6,
        L188&gt;0.1, 1.3,
        L188&gt;=-0.05, 1,
        L188&gt;=-0.2, 0.85,
        TRUE, 0.7
     "&amp;" ),
      VALUE(INDEX(SPLIT(K188,""-""),2))
    ),
    VALUE(INDEX(SPLIT(K188,""-""),1))
  )
)"),126.0)</f>
        <v>126</v>
      </c>
      <c r="J188" s="25">
        <f>I188*(VLOOKUP(C188,'Rev_Mapping Table'!$A$1:$C$12,3,0))</f>
        <v>57960000</v>
      </c>
      <c r="K188" s="24" t="s">
        <v>32</v>
      </c>
      <c r="L188" s="26">
        <v>0.06</v>
      </c>
      <c r="M188" s="27" t="str">
        <f>VLOOKUP(B188,Master_Mapper!$A$2:$C$628,3,0)</f>
        <v>South Street Partners (Charlotte)</v>
      </c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</row>
    <row r="189">
      <c r="A189" s="13" t="b">
        <v>0</v>
      </c>
      <c r="B189" s="14" t="s">
        <v>355</v>
      </c>
      <c r="C189" s="15" t="s">
        <v>72</v>
      </c>
      <c r="D189" s="13" t="str">
        <f>vlookup(B189,Vert_Mapper!$A$2:$C$567,3,0)</f>
        <v>Media &amp; Entertainment</v>
      </c>
      <c r="E189" s="13" t="s">
        <v>26</v>
      </c>
      <c r="F189" s="13" t="s">
        <v>18</v>
      </c>
      <c r="G189" s="13" t="str">
        <f t="shared" si="1"/>
        <v>ACCELERATED GROWTH</v>
      </c>
      <c r="H189" s="13" t="s">
        <v>356</v>
      </c>
      <c r="I189" s="16">
        <f>IFERROR(__xludf.DUMMYFUNCTION("ROUND(
  MAX(
    MIN(
      (
        (VALUE(INDEX(SPLIT(K189,""-""),1)) + VALUE(INDEX(SPLIT(K189,""-""),2))) / 2
      ) *
      IFS(
        L189&gt;0.4, 1.6,
        L189&gt;0.1, 1.3,
        L189&gt;=-0.05, 1,
        L189&gt;=-0.2, 0.85,
        TRUE, 0.7
     "&amp;" ),
      VALUE(INDEX(SPLIT(K189,""-""),2))
    ),
    VALUE(INDEX(SPLIT(K189,""-""),1))
  )
)"),163.0)</f>
        <v>163</v>
      </c>
      <c r="J189" s="17">
        <f>I189*(VLOOKUP(C189,'Rev_Mapping Table'!$A$1:$C$12,3,0))</f>
        <v>91932000</v>
      </c>
      <c r="K189" s="16" t="s">
        <v>32</v>
      </c>
      <c r="L189" s="18">
        <v>0.3</v>
      </c>
      <c r="M189" s="19" t="str">
        <f>VLOOKUP(B189,Master_Mapper!$A$2:$C$628,3,0)</f>
        <v>Cerity Partners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</row>
    <row r="190">
      <c r="A190" s="21" t="b">
        <v>0</v>
      </c>
      <c r="B190" s="31" t="s">
        <v>357</v>
      </c>
      <c r="C190" s="23" t="s">
        <v>16</v>
      </c>
      <c r="D190" s="21" t="str">
        <f>vlookup(B190,Vert_Mapper!$A$2:$C$567,3,0)</f>
        <v>Aerospace and Defense</v>
      </c>
      <c r="E190" s="21" t="s">
        <v>26</v>
      </c>
      <c r="F190" s="21" t="s">
        <v>18</v>
      </c>
      <c r="G190" s="21" t="str">
        <f t="shared" si="1"/>
        <v>FLAT TO NEUTRAL</v>
      </c>
      <c r="H190" s="21" t="s">
        <v>358</v>
      </c>
      <c r="I190" s="24">
        <f>IFERROR(__xludf.DUMMYFUNCTION("ROUND(
  MAX(
    MIN(
      (
        (VALUE(INDEX(SPLIT(K190,""-""),1)) + VALUE(INDEX(SPLIT(K190,""-""),2))) / 2
      ) *
      IFS(
        L190&gt;0.4, 1.6,
        L190&gt;0.1, 1.3,
        L190&gt;=-0.05, 1,
        L190&gt;=-0.2, 0.85,
        TRUE, 0.7
     "&amp;" ),
      VALUE(INDEX(SPLIT(K190,""-""),2))
    ),
    VALUE(INDEX(SPLIT(K190,""-""),1))
  )
)"),126.0)</f>
        <v>126</v>
      </c>
      <c r="J190" s="25">
        <f>I190*(VLOOKUP(C190,'Rev_Mapping Table'!$A$1:$C$12,3,0))</f>
        <v>62118000</v>
      </c>
      <c r="K190" s="24" t="s">
        <v>32</v>
      </c>
      <c r="L190" s="26">
        <v>0.0</v>
      </c>
      <c r="M190" s="27" t="str">
        <f>VLOOKUP(B190,Master_Mapper!$A$2:$C$628,3,0)</f>
        <v>Summit Park</v>
      </c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</row>
    <row r="191">
      <c r="A191" s="13" t="b">
        <v>0</v>
      </c>
      <c r="B191" s="14" t="s">
        <v>359</v>
      </c>
      <c r="C191" s="15" t="s">
        <v>46</v>
      </c>
      <c r="D191" s="13" t="str">
        <f>vlookup(B191,Vert_Mapper!$A$2:$C$567,3,0)</f>
        <v>Biotechnology &amp; Pharmaceuticals</v>
      </c>
      <c r="E191" s="13" t="s">
        <v>26</v>
      </c>
      <c r="F191" s="13" t="s">
        <v>18</v>
      </c>
      <c r="G191" s="13" t="str">
        <f t="shared" si="1"/>
        <v>FLAT TO NEUTRAL</v>
      </c>
      <c r="H191" s="13" t="s">
        <v>341</v>
      </c>
      <c r="I191" s="16">
        <f>IFERROR(__xludf.DUMMYFUNCTION("ROUND(
  MAX(
    MIN(
      (
        (VALUE(INDEX(SPLIT(K191,""-""),1)) + VALUE(INDEX(SPLIT(K191,""-""),2))) / 2
      ) *
      IFS(
        L191&gt;0.4, 1.6,
        L191&gt;0.1, 1.3,
        L191&gt;=-0.05, 1,
        L191&gt;=-0.2, 0.85,
        TRUE, 0.7
     "&amp;" ),
      VALUE(INDEX(SPLIT(K191,""-""),2))
    ),
    VALUE(INDEX(SPLIT(K191,""-""),1))
  )
)"),31.0)</f>
        <v>31</v>
      </c>
      <c r="J191" s="17">
        <f>I191*(VLOOKUP(C191,'Rev_Mapping Table'!$A$1:$C$12,3,0))</f>
        <v>17236000</v>
      </c>
      <c r="K191" s="16" t="s">
        <v>25</v>
      </c>
      <c r="L191" s="18">
        <v>0.0</v>
      </c>
      <c r="M191" s="19" t="str">
        <f>VLOOKUP(B191,Master_Mapper!$A$2:$C$628,3,0)</f>
        <v>EF Capital</v>
      </c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</row>
    <row r="192">
      <c r="A192" s="21" t="b">
        <v>0</v>
      </c>
      <c r="B192" s="31" t="s">
        <v>360</v>
      </c>
      <c r="C192" s="23" t="s">
        <v>46</v>
      </c>
      <c r="D192" s="21" t="str">
        <f>vlookup(B192,Vert_Mapper!$A$2:$C$567,3,0)</f>
        <v>Biotechnology &amp; Pharmaceuticals</v>
      </c>
      <c r="E192" s="21" t="s">
        <v>85</v>
      </c>
      <c r="F192" s="21" t="s">
        <v>86</v>
      </c>
      <c r="G192" s="21" t="str">
        <f t="shared" si="1"/>
        <v>FLAT TO NEUTRAL</v>
      </c>
      <c r="H192" s="21" t="s">
        <v>66</v>
      </c>
      <c r="I192" s="24">
        <f>IFERROR(__xludf.DUMMYFUNCTION("ROUND(
  MAX(
    MIN(
      (
        (VALUE(INDEX(SPLIT(K192,""-""),1)) + VALUE(INDEX(SPLIT(K192,""-""),2))) / 2
      ) *
      IFS(
        L192&gt;0.4, 1.6,
        L192&gt;0.1, 1.3,
        L192&gt;=-0.05, 1,
        L192&gt;=-0.2, 0.85,
        TRUE, 0.7
     "&amp;" ),
      VALUE(INDEX(SPLIT(K192,""-""),2))
    ),
    VALUE(INDEX(SPLIT(K192,""-""),1))
  )
)"),31.0)</f>
        <v>31</v>
      </c>
      <c r="J192" s="25">
        <f>I192*(VLOOKUP(C192,'Rev_Mapping Table'!$A$1:$C$12,3,0))</f>
        <v>17236000</v>
      </c>
      <c r="K192" s="24" t="s">
        <v>25</v>
      </c>
      <c r="L192" s="26">
        <v>0.0</v>
      </c>
      <c r="M192" s="27" t="str">
        <f>VLOOKUP(B192,Master_Mapper!$A$2:$C$628,3,0)</f>
        <v>VentureSouth</v>
      </c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</row>
    <row r="193">
      <c r="A193" s="13" t="b">
        <v>0</v>
      </c>
      <c r="B193" s="14" t="s">
        <v>361</v>
      </c>
      <c r="C193" s="15" t="s">
        <v>217</v>
      </c>
      <c r="D193" s="13" t="str">
        <f>vlookup(B193,Vert_Mapper!$A$2:$C$567,3,0)</f>
        <v>Renewable Energy</v>
      </c>
      <c r="E193" s="13" t="s">
        <v>26</v>
      </c>
      <c r="F193" s="13" t="s">
        <v>18</v>
      </c>
      <c r="G193" s="13" t="str">
        <f t="shared" si="1"/>
        <v>GROWTH PHASE</v>
      </c>
      <c r="H193" s="13" t="s">
        <v>100</v>
      </c>
      <c r="I193" s="16">
        <f>IFERROR(__xludf.DUMMYFUNCTION("ROUND(
  MAX(
    MIN(
      (
        (VALUE(INDEX(SPLIT(K193,""-""),1)) + VALUE(INDEX(SPLIT(K193,""-""),2))) / 2
      ) *
      IFS(
        L193&gt;0.4, 1.6,
        L193&gt;0.1, 1.3,
        L193&gt;=-0.05, 1,
        L193&gt;=-0.2, 0.85,
        TRUE, 0.7
     "&amp;" ),
      VALUE(INDEX(SPLIT(K193,""-""),2))
    ),
    VALUE(INDEX(SPLIT(K193,""-""),1))
  )
)"),31.0)</f>
        <v>31</v>
      </c>
      <c r="J193" s="17">
        <f>I193*(VLOOKUP(C193,'Rev_Mapping Table'!$A$1:$C$12,3,0))</f>
        <v>93930000</v>
      </c>
      <c r="K193" s="16" t="s">
        <v>25</v>
      </c>
      <c r="L193" s="18">
        <v>0.08</v>
      </c>
      <c r="M193" s="19" t="str">
        <f>VLOOKUP(B193,Master_Mapper!$A$2:$C$628,3,0)</f>
        <v>VentureSouth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</row>
    <row r="194">
      <c r="A194" s="21" t="b">
        <v>0</v>
      </c>
      <c r="B194" s="31" t="s">
        <v>362</v>
      </c>
      <c r="C194" s="23" t="s">
        <v>64</v>
      </c>
      <c r="D194" s="21" t="str">
        <f>vlookup(B194,Vert_Mapper!$A$2:$C$567,3,0)</f>
        <v>Environmental &amp; Sustainability</v>
      </c>
      <c r="E194" s="21" t="s">
        <v>26</v>
      </c>
      <c r="F194" s="21" t="s">
        <v>18</v>
      </c>
      <c r="G194" s="21" t="str">
        <f t="shared" si="1"/>
        <v>GROWTH PHASE</v>
      </c>
      <c r="H194" s="21" t="s">
        <v>363</v>
      </c>
      <c r="I194" s="24">
        <f>IFERROR(__xludf.DUMMYFUNCTION("ROUND(
  MAX(
    MIN(
      (
        (VALUE(INDEX(SPLIT(K194,""-""),1)) + VALUE(INDEX(SPLIT(K194,""-""),2))) / 2
      ) *
      IFS(
        L194&gt;0.4, 1.6,
        L194&gt;0.1, 1.3,
        L194&gt;=-0.05, 1,
        L194&gt;=-0.2, 0.85,
        TRUE, 0.7
     "&amp;" ),
      VALUE(INDEX(SPLIT(K194,""-""),2))
    ),
    VALUE(INDEX(SPLIT(K194,""-""),1))
  )
)"),126.0)</f>
        <v>126</v>
      </c>
      <c r="J194" s="25">
        <f>I194*(VLOOKUP(C194,'Rev_Mapping Table'!$A$1:$C$12,3,0))</f>
        <v>62118000</v>
      </c>
      <c r="K194" s="24" t="s">
        <v>32</v>
      </c>
      <c r="L194" s="26">
        <v>0.05</v>
      </c>
      <c r="M194" s="27" t="str">
        <f>VLOOKUP(B194,Master_Mapper!$A$2:$C$628,3,0)</f>
        <v>Harbor Island Equity Partners</v>
      </c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</row>
    <row r="195">
      <c r="A195" s="13" t="b">
        <v>0</v>
      </c>
      <c r="B195" s="14" t="s">
        <v>364</v>
      </c>
      <c r="C195" s="15" t="s">
        <v>64</v>
      </c>
      <c r="D195" s="13" t="str">
        <f>vlookup(B195,Vert_Mapper!$A$2:$C$567,3,0)</f>
        <v>#N/A</v>
      </c>
      <c r="E195" s="13" t="s">
        <v>65</v>
      </c>
      <c r="F195" s="13" t="s">
        <v>18</v>
      </c>
      <c r="G195" s="13" t="str">
        <f t="shared" si="1"/>
        <v>GROWTH PHASE</v>
      </c>
      <c r="H195" s="13" t="s">
        <v>365</v>
      </c>
      <c r="I195" s="16">
        <f>IFERROR(__xludf.DUMMYFUNCTION("ROUND(
  MAX(
    MIN(
      (
        (VALUE(INDEX(SPLIT(K195,""-""),1)) + VALUE(INDEX(SPLIT(K195,""-""),2))) / 2
      ) *
      IFS(
        L195&gt;0.4, 1.6,
        L195&gt;0.1, 1.3,
        L195&gt;=-0.05, 1,
        L195&gt;=-0.2, 0.85,
        TRUE, 0.7
     "&amp;" ),
      VALUE(INDEX(SPLIT(K195,""-""),2))
    ),
    VALUE(INDEX(SPLIT(K195,""-""),1))
  )
)"),126.0)</f>
        <v>126</v>
      </c>
      <c r="J195" s="17">
        <f>I195*(VLOOKUP(C195,'Rev_Mapping Table'!$A$1:$C$12,3,0))</f>
        <v>62118000</v>
      </c>
      <c r="K195" s="16" t="s">
        <v>32</v>
      </c>
      <c r="L195" s="18">
        <v>0.09</v>
      </c>
      <c r="M195" s="19" t="str">
        <f>VLOOKUP(B195,Master_Mapper!$A$2:$C$628,3,0)</f>
        <v>Monomoy Capital Partners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</row>
    <row r="196">
      <c r="A196" s="21" t="b">
        <v>0</v>
      </c>
      <c r="B196" s="31" t="s">
        <v>366</v>
      </c>
      <c r="C196" s="23" t="s">
        <v>72</v>
      </c>
      <c r="D196" s="21" t="str">
        <f>vlookup(B196,Vert_Mapper!$A$2:$C$567,3,0)</f>
        <v>Media &amp; Entertainment Technology</v>
      </c>
      <c r="E196" s="21" t="s">
        <v>26</v>
      </c>
      <c r="F196" s="21" t="s">
        <v>30</v>
      </c>
      <c r="G196" s="21" t="str">
        <f t="shared" si="1"/>
        <v>GROWTH PHASE</v>
      </c>
      <c r="H196" s="21" t="s">
        <v>367</v>
      </c>
      <c r="I196" s="24">
        <f>IFERROR(__xludf.DUMMYFUNCTION("ROUND(
  MAX(
    MIN(
      (
        (VALUE(INDEX(SPLIT(K196,""-""),1)) + VALUE(INDEX(SPLIT(K196,""-""),2))) / 2
      ) *
      IFS(
        L196&gt;0.4, 1.6,
        L196&gt;0.1, 1.3,
        L196&gt;=-0.05, 1,
        L196&gt;=-0.2, 0.85,
        TRUE, 0.7
     "&amp;" ),
      VALUE(INDEX(SPLIT(K196,""-""),2))
    ),
    VALUE(INDEX(SPLIT(K196,""-""),1))
  )
)"),3901.0)</f>
        <v>3901</v>
      </c>
      <c r="J196" s="25">
        <f>I196*(VLOOKUP(C196,'Rev_Mapping Table'!$A$1:$C$12,3,0))</f>
        <v>2200164000</v>
      </c>
      <c r="K196" s="24" t="s">
        <v>96</v>
      </c>
      <c r="L196" s="26">
        <v>0.16</v>
      </c>
      <c r="M196" s="27" t="str">
        <f>VLOOKUP(B196,Master_Mapper!$A$2:$C$628,3,0)</f>
        <v>Vibora Capital</v>
      </c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</row>
    <row r="197">
      <c r="A197" s="13" t="b">
        <v>0</v>
      </c>
      <c r="B197" s="14" t="s">
        <v>368</v>
      </c>
      <c r="C197" s="15" t="s">
        <v>217</v>
      </c>
      <c r="D197" s="13" t="str">
        <f>vlookup(B197,Vert_Mapper!$A$2:$C$567,3,0)</f>
        <v>Energy Management &amp; Trading</v>
      </c>
      <c r="E197" s="13" t="s">
        <v>26</v>
      </c>
      <c r="F197" s="13" t="s">
        <v>18</v>
      </c>
      <c r="G197" s="13" t="str">
        <f t="shared" si="1"/>
        <v>ACCELERATED GROWTH</v>
      </c>
      <c r="H197" s="13" t="s">
        <v>369</v>
      </c>
      <c r="I197" s="16">
        <f>IFERROR(__xludf.DUMMYFUNCTION("ROUND(
  MAX(
    MIN(
      (
        (VALUE(INDEX(SPLIT(K197,""-""),1)) + VALUE(INDEX(SPLIT(K197,""-""),2))) / 2
      ) *
      IFS(
        L197&gt;0.4, 1.6,
        L197&gt;0.1, 1.3,
        L197&gt;=-0.05, 1,
        L197&gt;=-0.2, 0.85,
        TRUE, 0.7
     "&amp;" ),
      VALUE(INDEX(SPLIT(K197,""-""),2))
    ),
    VALUE(INDEX(SPLIT(K197,""-""),1))
  )
)"),49.0)</f>
        <v>49</v>
      </c>
      <c r="J197" s="17">
        <f>I197*(VLOOKUP(C197,'Rev_Mapping Table'!$A$1:$C$12,3,0))</f>
        <v>148470000</v>
      </c>
      <c r="K197" s="16" t="s">
        <v>25</v>
      </c>
      <c r="L197" s="18">
        <v>1.0</v>
      </c>
      <c r="M197" s="19" t="str">
        <f>VLOOKUP(B197,Master_Mapper!$A$2:$C$628,3,0)</f>
        <v>Cerity Partners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</row>
    <row r="198">
      <c r="A198" s="21" t="b">
        <v>0</v>
      </c>
      <c r="B198" s="31" t="s">
        <v>370</v>
      </c>
      <c r="C198" s="23" t="s">
        <v>38</v>
      </c>
      <c r="D198" s="21" t="str">
        <f>vlookup(B198,Vert_Mapper!$A$2:$C$567,3,0)</f>
        <v>Insurance &amp; InsurTech</v>
      </c>
      <c r="E198" s="21" t="s">
        <v>26</v>
      </c>
      <c r="F198" s="21" t="s">
        <v>18</v>
      </c>
      <c r="G198" s="21" t="str">
        <f t="shared" si="1"/>
        <v>GROWTH PHASE</v>
      </c>
      <c r="H198" s="21" t="s">
        <v>248</v>
      </c>
      <c r="I198" s="24">
        <f>IFERROR(__xludf.DUMMYFUNCTION("ROUND(
  MAX(
    MIN(
      (
        (VALUE(INDEX(SPLIT(K198,""-""),1)) + VALUE(INDEX(SPLIT(K198,""-""),2))) / 2
      ) *
      IFS(
        L198&gt;0.4, 1.6,
        L198&gt;0.1, 1.3,
        L198&gt;=-0.05, 1,
        L198&gt;=-0.2, 0.85,
        TRUE, 0.7
     "&amp;" ),
      VALUE(INDEX(SPLIT(K198,""-""),2))
    ),
    VALUE(INDEX(SPLIT(K198,""-""),1))
  )
)"),751.0)</f>
        <v>751</v>
      </c>
      <c r="J198" s="25">
        <f>I198*(VLOOKUP(C198,'Rev_Mapping Table'!$A$1:$C$12,3,0))</f>
        <v>679655000</v>
      </c>
      <c r="K198" s="24" t="s">
        <v>54</v>
      </c>
      <c r="L198" s="26">
        <v>0.06</v>
      </c>
      <c r="M198" s="27" t="str">
        <f>VLOOKUP(B198,Master_Mapper!$A$2:$C$628,3,0)</f>
        <v>Carousel Capital</v>
      </c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</row>
    <row r="199">
      <c r="A199" s="13" t="b">
        <v>0</v>
      </c>
      <c r="B199" s="14" t="s">
        <v>371</v>
      </c>
      <c r="C199" s="15" t="s">
        <v>22</v>
      </c>
      <c r="D199" s="13" t="str">
        <f>vlookup(B199,Vert_Mapper!$A$2:$C$567,3,0)</f>
        <v>Software &amp; SaaS</v>
      </c>
      <c r="E199" s="13" t="s">
        <v>26</v>
      </c>
      <c r="F199" s="13" t="s">
        <v>18</v>
      </c>
      <c r="G199" s="13" t="str">
        <f t="shared" si="1"/>
        <v>FLAT TO NEUTRAL</v>
      </c>
      <c r="H199" s="13" t="s">
        <v>80</v>
      </c>
      <c r="I199" s="16">
        <f>IFERROR(__xludf.DUMMYFUNCTION("ROUND(
  MAX(
    MIN(
      (
        (VALUE(INDEX(SPLIT(K199,""-""),1)) + VALUE(INDEX(SPLIT(K199,""-""),2))) / 2
      ) *
      IFS(
        L199&gt;0.4, 1.6,
        L199&gt;0.1, 1.3,
        L199&gt;=-0.05, 1,
        L199&gt;=-0.2, 0.85,
        TRUE, 0.7
     "&amp;" ),
      VALUE(INDEX(SPLIT(K199,""-""),2))
    ),
    VALUE(INDEX(SPLIT(K199,""-""),1))
  )
)"),126.0)</f>
        <v>126</v>
      </c>
      <c r="J199" s="17">
        <f>I199*(VLOOKUP(C199,'Rev_Mapping Table'!$A$1:$C$12,3,0))</f>
        <v>71064000</v>
      </c>
      <c r="K199" s="16" t="s">
        <v>32</v>
      </c>
      <c r="L199" s="18">
        <v>0.02</v>
      </c>
      <c r="M199" s="19" t="str">
        <f>VLOOKUP(B199,Master_Mapper!$A$2:$C$628,3,0)</f>
        <v>Cerity Partners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</row>
    <row r="200">
      <c r="A200" s="21" t="b">
        <v>0</v>
      </c>
      <c r="B200" s="31" t="s">
        <v>372</v>
      </c>
      <c r="C200" s="23" t="s">
        <v>46</v>
      </c>
      <c r="D200" s="21" t="str">
        <f>vlookup(B200,Vert_Mapper!$A$2:$C$567,3,0)</f>
        <v>Healthcare Technology &amp; Analytics</v>
      </c>
      <c r="E200" s="21" t="s">
        <v>26</v>
      </c>
      <c r="F200" s="21" t="s">
        <v>18</v>
      </c>
      <c r="G200" s="21" t="str">
        <f t="shared" si="1"/>
        <v>SEVERELY NEGATIVE</v>
      </c>
      <c r="H200" s="21" t="s">
        <v>373</v>
      </c>
      <c r="I200" s="24">
        <f>IFERROR(__xludf.DUMMYFUNCTION("ROUND(
  MAX(
    MIN(
      (
        (VALUE(INDEX(SPLIT(K200,""-""),1)) + VALUE(INDEX(SPLIT(K200,""-""),2))) / 2
      ) *
      IFS(
        L200&gt;0.4, 1.6,
        L200&gt;0.1, 1.3,
        L200&gt;=-0.05, 1,
        L200&gt;=-0.2, 0.85,
        TRUE, 0.7
     "&amp;" ),
      VALUE(INDEX(SPLIT(K200,""-""),2))
    ),
    VALUE(INDEX(SPLIT(K200,""-""),1))
  )
)"),525.0)</f>
        <v>525</v>
      </c>
      <c r="J200" s="25">
        <f>I200*(VLOOKUP(C200,'Rev_Mapping Table'!$A$1:$C$12,3,0))</f>
        <v>291900000</v>
      </c>
      <c r="K200" s="24" t="s">
        <v>54</v>
      </c>
      <c r="L200" s="26">
        <v>-0.4</v>
      </c>
      <c r="M200" s="27" t="str">
        <f>VLOOKUP(B200,Master_Mapper!$A$2:$C$628,3,0)</f>
        <v>Cerity Partners</v>
      </c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</row>
    <row r="201">
      <c r="A201" s="13" t="b">
        <v>0</v>
      </c>
      <c r="B201" s="14" t="s">
        <v>374</v>
      </c>
      <c r="C201" s="15" t="s">
        <v>22</v>
      </c>
      <c r="D201" s="13" t="str">
        <f>vlookup(B201,Vert_Mapper!$A$2:$C$567,3,0)</f>
        <v>Security &amp; Cybersecurity</v>
      </c>
      <c r="E201" s="13" t="s">
        <v>26</v>
      </c>
      <c r="F201" s="13" t="s">
        <v>18</v>
      </c>
      <c r="G201" s="13" t="str">
        <f t="shared" si="1"/>
        <v>DECLINING</v>
      </c>
      <c r="H201" s="13" t="s">
        <v>375</v>
      </c>
      <c r="I201" s="16">
        <f>IFERROR(__xludf.DUMMYFUNCTION("ROUND(
  MAX(
    MIN(
      (
        (VALUE(INDEX(SPLIT(K201,""-""),1)) + VALUE(INDEX(SPLIT(K201,""-""),2))) / 2
      ) *
      IFS(
        L201&gt;0.4, 1.6,
        L201&gt;0.1, 1.3,
        L201&gt;=-0.05, 1,
        L201&gt;=-0.2, 0.85,
        TRUE, 0.7
     "&amp;" ),
      VALUE(INDEX(SPLIT(K201,""-""),2))
    ),
    VALUE(INDEX(SPLIT(K201,""-""),1))
  )
)"),638.0)</f>
        <v>638</v>
      </c>
      <c r="J201" s="17">
        <f>I201*(VLOOKUP(C201,'Rev_Mapping Table'!$A$1:$C$12,3,0))</f>
        <v>359832000</v>
      </c>
      <c r="K201" s="16" t="s">
        <v>54</v>
      </c>
      <c r="L201" s="18">
        <v>-0.1</v>
      </c>
      <c r="M201" s="19" t="str">
        <f>VLOOKUP(B201,Master_Mapper!$A$2:$C$628,3,0)</f>
        <v>Vibora Capital</v>
      </c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</row>
    <row r="202">
      <c r="A202" s="21" t="b">
        <v>0</v>
      </c>
      <c r="B202" s="31" t="s">
        <v>376</v>
      </c>
      <c r="C202" s="23" t="s">
        <v>16</v>
      </c>
      <c r="D202" s="21" t="str">
        <f>vlookup(B202,Vert_Mapper!$A$2:$C$567,3,0)</f>
        <v>Engineering &amp; Construction Services</v>
      </c>
      <c r="E202" s="21" t="s">
        <v>26</v>
      </c>
      <c r="F202" s="21" t="s">
        <v>18</v>
      </c>
      <c r="G202" s="21" t="str">
        <f t="shared" si="1"/>
        <v>GROWTH PHASE</v>
      </c>
      <c r="H202" s="21" t="s">
        <v>291</v>
      </c>
      <c r="I202" s="24">
        <f>IFERROR(__xludf.DUMMYFUNCTION("ROUND(
  MAX(
    MIN(
      (
        (VALUE(INDEX(SPLIT(K202,""-""),1)) + VALUE(INDEX(SPLIT(K202,""-""),2))) / 2
      ) *
      IFS(
        L202&gt;0.4, 1.6,
        L202&gt;0.1, 1.3,
        L202&gt;=-0.05, 1,
        L202&gt;=-0.2, 0.85,
        TRUE, 0.7
     "&amp;" ),
      VALUE(INDEX(SPLIT(K202,""-""),2))
    ),
    VALUE(INDEX(SPLIT(K202,""-""),1))
  )
)"),456.0)</f>
        <v>456</v>
      </c>
      <c r="J202" s="25">
        <f>I202*(VLOOKUP(C202,'Rev_Mapping Table'!$A$1:$C$12,3,0))</f>
        <v>224808000</v>
      </c>
      <c r="K202" s="24" t="s">
        <v>20</v>
      </c>
      <c r="L202" s="26">
        <v>0.17</v>
      </c>
      <c r="M202" s="27" t="str">
        <f>VLOOKUP(B202,Master_Mapper!$A$2:$C$628,3,0)</f>
        <v>Summit Park</v>
      </c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</row>
    <row r="203">
      <c r="A203" s="13" t="b">
        <v>0</v>
      </c>
      <c r="B203" s="14" t="s">
        <v>377</v>
      </c>
      <c r="C203" s="15" t="s">
        <v>46</v>
      </c>
      <c r="D203" s="13" t="str">
        <f>vlookup(B203,Vert_Mapper!$A$2:$C$567,3,0)</f>
        <v>Medical Devices &amp; Technology</v>
      </c>
      <c r="E203" s="13" t="s">
        <v>26</v>
      </c>
      <c r="F203" s="13" t="s">
        <v>18</v>
      </c>
      <c r="G203" s="13" t="str">
        <f t="shared" si="1"/>
        <v>DECLINING</v>
      </c>
      <c r="H203" s="13" t="s">
        <v>378</v>
      </c>
      <c r="I203" s="16">
        <f>IFERROR(__xludf.DUMMYFUNCTION("ROUND(
  MAX(
    MIN(
      (
        (VALUE(INDEX(SPLIT(K203,""-""),1)) + VALUE(INDEX(SPLIT(K203,""-""),2))) / 2
      ) *
      IFS(
        L203&gt;0.4, 1.6,
        L203&gt;0.1, 1.3,
        L203&gt;=-0.05, 1,
        L203&gt;=-0.2, 0.85,
        TRUE, 0.7
     "&amp;" ),
      VALUE(INDEX(SPLIT(K203,""-""),2))
    ),
    VALUE(INDEX(SPLIT(K203,""-""),1))
  )
)"),26.0)</f>
        <v>26</v>
      </c>
      <c r="J203" s="17">
        <f>I203*(VLOOKUP(C203,'Rev_Mapping Table'!$A$1:$C$12,3,0))</f>
        <v>14456000</v>
      </c>
      <c r="K203" s="16" t="s">
        <v>25</v>
      </c>
      <c r="L203" s="18">
        <v>-0.14</v>
      </c>
      <c r="M203" s="19" t="str">
        <f>VLOOKUP(B203,Master_Mapper!$A$2:$C$628,3,0)</f>
        <v>Cerity Partners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</row>
    <row r="204">
      <c r="A204" s="21" t="b">
        <v>0</v>
      </c>
      <c r="B204" s="31" t="s">
        <v>379</v>
      </c>
      <c r="C204" s="23" t="s">
        <v>56</v>
      </c>
      <c r="D204" s="21" t="str">
        <f>vlookup(B204,Vert_Mapper!$A$2:$C$567,3,0)</f>
        <v>Travel &amp; Hospitality Services</v>
      </c>
      <c r="E204" s="21" t="s">
        <v>26</v>
      </c>
      <c r="F204" s="21" t="s">
        <v>18</v>
      </c>
      <c r="G204" s="21" t="str">
        <f t="shared" si="1"/>
        <v>GROWTH PHASE</v>
      </c>
      <c r="H204" s="21" t="s">
        <v>380</v>
      </c>
      <c r="I204" s="24">
        <f>IFERROR(__xludf.DUMMYFUNCTION("ROUND(
  MAX(
    MIN(
      (
        (VALUE(INDEX(SPLIT(K204,""-""),1)) + VALUE(INDEX(SPLIT(K204,""-""),2))) / 2
      ) *
      IFS(
        L204&gt;0.4, 1.6,
        L204&gt;0.1, 1.3,
        L204&gt;=-0.05, 1,
        L204&gt;=-0.2, 0.85,
        TRUE, 0.7
     "&amp;" ),
      VALUE(INDEX(SPLIT(K204,""-""),2))
    ),
    VALUE(INDEX(SPLIT(K204,""-""),1))
  )
)"),126.0)</f>
        <v>126</v>
      </c>
      <c r="J204" s="25">
        <f>I204*(VLOOKUP(C204,'Rev_Mapping Table'!$A$1:$C$12,3,0))</f>
        <v>64512000</v>
      </c>
      <c r="K204" s="24" t="s">
        <v>32</v>
      </c>
      <c r="L204" s="26">
        <v>0.09</v>
      </c>
      <c r="M204" s="27" t="str">
        <f>VLOOKUP(B204,Master_Mapper!$A$2:$C$628,3,0)</f>
        <v>Carousel Capital</v>
      </c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</row>
    <row r="205">
      <c r="A205" s="13" t="b">
        <v>0</v>
      </c>
      <c r="B205" s="14" t="s">
        <v>381</v>
      </c>
      <c r="C205" s="15" t="s">
        <v>56</v>
      </c>
      <c r="D205" s="13" t="str">
        <f>vlookup(B205,Vert_Mapper!$A$2:$C$567,3,0)</f>
        <v>Consumer Products</v>
      </c>
      <c r="E205" s="13" t="s">
        <v>26</v>
      </c>
      <c r="F205" s="13" t="s">
        <v>18</v>
      </c>
      <c r="G205" s="13" t="str">
        <f t="shared" si="1"/>
        <v>FLAT TO NEUTRAL</v>
      </c>
      <c r="H205" s="13" t="s">
        <v>382</v>
      </c>
      <c r="I205" s="16">
        <f>IFERROR(__xludf.DUMMYFUNCTION("ROUND(
  MAX(
    MIN(
      (
        (VALUE(INDEX(SPLIT(K205,""-""),1)) + VALUE(INDEX(SPLIT(K205,""-""),2))) / 2
      ) *
      IFS(
        L205&gt;0.4, 1.6,
        L205&gt;0.1, 1.3,
        L205&gt;=-0.05, 1,
        L205&gt;=-0.2, 0.85,
        TRUE, 0.7
     "&amp;" ),
      VALUE(INDEX(SPLIT(K205,""-""),2))
    ),
    VALUE(INDEX(SPLIT(K205,""-""),1))
  )
)"),126.0)</f>
        <v>126</v>
      </c>
      <c r="J205" s="17">
        <f>I205*(VLOOKUP(C205,'Rev_Mapping Table'!$A$1:$C$12,3,0))</f>
        <v>64512000</v>
      </c>
      <c r="K205" s="16" t="s">
        <v>32</v>
      </c>
      <c r="L205" s="18">
        <v>0.01</v>
      </c>
      <c r="M205" s="19" t="str">
        <f>VLOOKUP(B205,Master_Mapper!$A$2:$C$628,3,0)</f>
        <v>Falfurrias Capital Partners</v>
      </c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</row>
    <row r="206">
      <c r="A206" s="21" t="b">
        <v>0</v>
      </c>
      <c r="B206" s="31" t="s">
        <v>383</v>
      </c>
      <c r="C206" s="23" t="s">
        <v>16</v>
      </c>
      <c r="D206" s="21" t="str">
        <f>vlookup(B206,Vert_Mapper!$A$2:$C$567,3,0)</f>
        <v>Manufacturing &amp; Processing</v>
      </c>
      <c r="E206" s="21" t="s">
        <v>26</v>
      </c>
      <c r="F206" s="21" t="s">
        <v>18</v>
      </c>
      <c r="G206" s="21" t="str">
        <f t="shared" si="1"/>
        <v>GROWTH PHASE</v>
      </c>
      <c r="H206" s="21" t="s">
        <v>319</v>
      </c>
      <c r="I206" s="24">
        <f>IFERROR(__xludf.DUMMYFUNCTION("ROUND(
  MAX(
    MIN(
      (
        (VALUE(INDEX(SPLIT(K206,""-""),1)) + VALUE(INDEX(SPLIT(K206,""-""),2))) / 2
      ) *
      IFS(
        L206&gt;0.4, 1.6,
        L206&gt;0.1, 1.3,
        L206&gt;=-0.05, 1,
        L206&gt;=-0.2, 0.85,
        TRUE, 0.7
     "&amp;" ),
      VALUE(INDEX(SPLIT(K206,""-""),2))
    ),
    VALUE(INDEX(SPLIT(K206,""-""),1))
  )
)"),163.0)</f>
        <v>163</v>
      </c>
      <c r="J206" s="25">
        <f>I206*(VLOOKUP(C206,'Rev_Mapping Table'!$A$1:$C$12,3,0))</f>
        <v>80359000</v>
      </c>
      <c r="K206" s="24" t="s">
        <v>32</v>
      </c>
      <c r="L206" s="26">
        <v>0.11</v>
      </c>
      <c r="M206" s="27" t="str">
        <f>VLOOKUP(B206,Master_Mapper!$A$2:$C$628,3,0)</f>
        <v>Cerity Partners</v>
      </c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</row>
    <row r="207">
      <c r="A207" s="13" t="b">
        <v>0</v>
      </c>
      <c r="B207" s="14" t="s">
        <v>384</v>
      </c>
      <c r="C207" s="15" t="s">
        <v>46</v>
      </c>
      <c r="D207" s="13" t="str">
        <f>vlookup(B207,Vert_Mapper!$A$2:$C$567,3,0)</f>
        <v>Healthcare Services</v>
      </c>
      <c r="E207" s="13" t="s">
        <v>85</v>
      </c>
      <c r="F207" s="13" t="s">
        <v>18</v>
      </c>
      <c r="G207" s="13" t="str">
        <f t="shared" si="1"/>
        <v>GROWTH PHASE</v>
      </c>
      <c r="H207" s="13" t="s">
        <v>385</v>
      </c>
      <c r="I207" s="16">
        <f>IFERROR(__xludf.DUMMYFUNCTION("ROUND(
  MAX(
    MIN(
      (
        (VALUE(INDEX(SPLIT(K207,""-""),1)) + VALUE(INDEX(SPLIT(K207,""-""),2))) / 2
      ) *
      IFS(
        L207&gt;0.4, 1.6,
        L207&gt;0.1, 1.3,
        L207&gt;=-0.05, 1,
        L207&gt;=-0.2, 0.85,
        TRUE, 0.7
     "&amp;" ),
      VALUE(INDEX(SPLIT(K207,""-""),2))
    ),
    VALUE(INDEX(SPLIT(K207,""-""),1))
  )
)"),751.0)</f>
        <v>751</v>
      </c>
      <c r="J207" s="17">
        <f>I207*(VLOOKUP(C207,'Rev_Mapping Table'!$A$1:$C$12,3,0))</f>
        <v>417556000</v>
      </c>
      <c r="K207" s="16" t="s">
        <v>54</v>
      </c>
      <c r="L207" s="18">
        <v>0.04</v>
      </c>
      <c r="M207" s="19" t="str">
        <f>VLOOKUP(B207,Master_Mapper!$A$2:$C$628,3,0)</f>
        <v>Halifax Group</v>
      </c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</row>
    <row r="208">
      <c r="A208" s="21" t="b">
        <v>0</v>
      </c>
      <c r="B208" s="31" t="s">
        <v>386</v>
      </c>
      <c r="C208" s="23" t="s">
        <v>56</v>
      </c>
      <c r="D208" s="21" t="str">
        <f>vlookup(B208,Vert_Mapper!$A$2:$C$567,3,0)</f>
        <v>Restaurants &amp; Food Services</v>
      </c>
      <c r="E208" s="21" t="s">
        <v>26</v>
      </c>
      <c r="F208" s="21" t="s">
        <v>18</v>
      </c>
      <c r="G208" s="21" t="str">
        <f t="shared" si="1"/>
        <v>HYPERGROWTH</v>
      </c>
      <c r="H208" s="21" t="s">
        <v>373</v>
      </c>
      <c r="I208" s="24" t="str">
        <f>IFERROR(__xludf.DUMMYFUNCTION("ROUND(
  MAX(
    MIN(
      (
        (VALUE(INDEX(SPLIT(K208,""-""),1)) + VALUE(INDEX(SPLIT(K208,""-""),2))) / 2
      ) *
      IFS(
        L208&gt;0.4, 1.6,
        L208&gt;0.1, 1.3,
        L208&gt;=-0.05, 1,
        L208&gt;=-0.2, 0.85,
        TRUE, 0.7
     "&amp;" ),
      VALUE(INDEX(SPLIT(K208,""-""),2))
    ),
    VALUE(INDEX(SPLIT(K208,""-""),1))
  )
)"),"#VALUE!")</f>
        <v>#VALUE!</v>
      </c>
      <c r="J208" s="25" t="str">
        <f>I208*(VLOOKUP(C208,'Rev_Mapping Table'!$A$1:$C$12,3,0))</f>
        <v>#VALUE!</v>
      </c>
      <c r="K208" s="35" t="s">
        <v>373</v>
      </c>
      <c r="L208" s="35" t="s">
        <v>373</v>
      </c>
      <c r="M208" s="27" t="str">
        <f>VLOOKUP(B208,Master_Mapper!$A$2:$C$628,3,0)</f>
        <v>South Street Partners (Charlotte)</v>
      </c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</row>
    <row r="209">
      <c r="A209" s="13" t="b">
        <v>1</v>
      </c>
      <c r="B209" s="14" t="s">
        <v>387</v>
      </c>
      <c r="C209" s="15" t="s">
        <v>56</v>
      </c>
      <c r="D209" s="13" t="str">
        <f>vlookup(B209,Vert_Mapper!$A$2:$C$567,3,0)</f>
        <v>Retail &amp; E-commerce</v>
      </c>
      <c r="E209" s="13" t="s">
        <v>26</v>
      </c>
      <c r="F209" s="13" t="s">
        <v>18</v>
      </c>
      <c r="G209" s="13" t="str">
        <f t="shared" si="1"/>
        <v>DECLINING</v>
      </c>
      <c r="H209" s="13" t="s">
        <v>73</v>
      </c>
      <c r="I209" s="16">
        <f>IFERROR(__xludf.DUMMYFUNCTION("ROUND(
  MAX(
    MIN(
      (
        (VALUE(INDEX(SPLIT(K209,""-""),1)) + VALUE(INDEX(SPLIT(K209,""-""),2))) / 2
      ) *
      IFS(
        L209&gt;0.4, 1.6,
        L209&gt;0.1, 1.3,
        L209&gt;=-0.05, 1,
        L209&gt;=-0.2, 0.85,
        TRUE, 0.7
     "&amp;" ),
      VALUE(INDEX(SPLIT(K209,""-""),2))
    ),
    VALUE(INDEX(SPLIT(K209,""-""),1))
  )
)"),5.0)</f>
        <v>5</v>
      </c>
      <c r="J209" s="17">
        <f>I209*(VLOOKUP(C209,'Rev_Mapping Table'!$A$1:$C$12,3,0))</f>
        <v>2560000</v>
      </c>
      <c r="K209" s="30">
        <v>45698.0</v>
      </c>
      <c r="L209" s="18">
        <v>-0.13</v>
      </c>
      <c r="M209" s="19" t="str">
        <f>VLOOKUP(B209,Master_Mapper!$A$2:$C$628,3,0)</f>
        <v>VentureSouth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</row>
    <row r="210">
      <c r="A210" s="21" t="b">
        <v>0</v>
      </c>
      <c r="B210" s="31" t="s">
        <v>388</v>
      </c>
      <c r="C210" s="23" t="s">
        <v>72</v>
      </c>
      <c r="D210" s="21" t="str">
        <f>vlookup(B210,Vert_Mapper!$A$2:$C$567,3,0)</f>
        <v>Marketing &amp; Advertising</v>
      </c>
      <c r="E210" s="21" t="s">
        <v>26</v>
      </c>
      <c r="F210" s="21" t="s">
        <v>18</v>
      </c>
      <c r="G210" s="21" t="str">
        <f t="shared" si="1"/>
        <v>FLAT TO NEUTRAL</v>
      </c>
      <c r="H210" s="21" t="s">
        <v>389</v>
      </c>
      <c r="I210" s="24">
        <f>IFERROR(__xludf.DUMMYFUNCTION("ROUND(
  MAX(
    MIN(
      (
        (VALUE(INDEX(SPLIT(K210,""-""),1)) + VALUE(INDEX(SPLIT(K210,""-""),2))) / 2
      ) *
      IFS(
        L210&gt;0.4, 1.6,
        L210&gt;0.1, 1.3,
        L210&gt;=-0.05, 1,
        L210&gt;=-0.2, 0.85,
        TRUE, 0.7
     "&amp;" ),
      VALUE(INDEX(SPLIT(K210,""-""),2))
    ),
    VALUE(INDEX(SPLIT(K210,""-""),1))
  )
)"),31.0)</f>
        <v>31</v>
      </c>
      <c r="J210" s="25">
        <f>I210*(VLOOKUP(C210,'Rev_Mapping Table'!$A$1:$C$12,3,0))</f>
        <v>17484000</v>
      </c>
      <c r="K210" s="24" t="s">
        <v>25</v>
      </c>
      <c r="L210" s="26">
        <v>0.0</v>
      </c>
      <c r="M210" s="27" t="str">
        <f>VLOOKUP(B210,Master_Mapper!$A$2:$C$628,3,0)</f>
        <v>VentureSouth</v>
      </c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</row>
    <row r="211">
      <c r="A211" s="13" t="b">
        <v>0</v>
      </c>
      <c r="B211" s="14" t="s">
        <v>390</v>
      </c>
      <c r="C211" s="15" t="s">
        <v>16</v>
      </c>
      <c r="D211" s="13" t="str">
        <f>vlookup(B211,Vert_Mapper!$A$2:$C$567,3,0)</f>
        <v>Industrial Equipment &amp; Services</v>
      </c>
      <c r="E211" s="13" t="s">
        <v>138</v>
      </c>
      <c r="F211" s="13" t="s">
        <v>18</v>
      </c>
      <c r="G211" s="13" t="str">
        <f t="shared" si="1"/>
        <v>GROWTH PHASE</v>
      </c>
      <c r="H211" s="13" t="s">
        <v>391</v>
      </c>
      <c r="I211" s="16">
        <f>IFERROR(__xludf.DUMMYFUNCTION("ROUND(
  MAX(
    MIN(
      (
        (VALUE(INDEX(SPLIT(K211,""-""),1)) + VALUE(INDEX(SPLIT(K211,""-""),2))) / 2
      ) *
      IFS(
        L211&gt;0.4, 1.6,
        L211&gt;0.1, 1.3,
        L211&gt;=-0.05, 1,
        L211&gt;=-0.2, 0.85,
        TRUE, 0.7
     "&amp;" ),
      VALUE(INDEX(SPLIT(K211,""-""),2))
    ),
    VALUE(INDEX(SPLIT(K211,""-""),1))
  )
)"),456.0)</f>
        <v>456</v>
      </c>
      <c r="J211" s="17">
        <f>I211*(VLOOKUP(C211,'Rev_Mapping Table'!$A$1:$C$12,3,0))</f>
        <v>224808000</v>
      </c>
      <c r="K211" s="16" t="s">
        <v>20</v>
      </c>
      <c r="L211" s="18">
        <v>0.17</v>
      </c>
      <c r="M211" s="19" t="str">
        <f>VLOOKUP(B211,Master_Mapper!$A$2:$C$628,3,0)</f>
        <v>Vibora Capital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</row>
    <row r="212">
      <c r="A212" s="21" t="b">
        <v>0</v>
      </c>
      <c r="B212" s="31" t="s">
        <v>392</v>
      </c>
      <c r="C212" s="23" t="s">
        <v>46</v>
      </c>
      <c r="D212" s="21" t="str">
        <f>vlookup(B212,Vert_Mapper!$A$2:$C$567,3,0)</f>
        <v>Biotechnology &amp; Pharmaceuticals</v>
      </c>
      <c r="E212" s="21" t="s">
        <v>26</v>
      </c>
      <c r="F212" s="21" t="s">
        <v>18</v>
      </c>
      <c r="G212" s="21" t="str">
        <f t="shared" si="1"/>
        <v>DECLINING</v>
      </c>
      <c r="H212" s="21" t="s">
        <v>24</v>
      </c>
      <c r="I212" s="24">
        <f>IFERROR(__xludf.DUMMYFUNCTION("ROUND(
  MAX(
    MIN(
      (
        (VALUE(INDEX(SPLIT(K212,""-""),1)) + VALUE(INDEX(SPLIT(K212,""-""),2))) / 2
      ) *
      IFS(
        L212&gt;0.4, 1.6,
        L212&gt;0.1, 1.3,
        L212&gt;=-0.05, 1,
        L212&gt;=-0.2, 0.85,
        TRUE, 0.7
     "&amp;" ),
      VALUE(INDEX(SPLIT(K212,""-""),2))
    ),
    VALUE(INDEX(SPLIT(K212,""-""),1))
  )
)"),298.0)</f>
        <v>298</v>
      </c>
      <c r="J212" s="25">
        <f>I212*(VLOOKUP(C212,'Rev_Mapping Table'!$A$1:$C$12,3,0))</f>
        <v>165688000</v>
      </c>
      <c r="K212" s="24" t="s">
        <v>20</v>
      </c>
      <c r="L212" s="26">
        <v>-0.08</v>
      </c>
      <c r="M212" s="27" t="str">
        <f>VLOOKUP(B212,Master_Mapper!$A$2:$C$628,3,0)</f>
        <v>NovaQuest Capital Mgmt</v>
      </c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</row>
    <row r="213">
      <c r="A213" s="13" t="b">
        <v>0</v>
      </c>
      <c r="B213" s="14" t="s">
        <v>393</v>
      </c>
      <c r="C213" s="15" t="s">
        <v>56</v>
      </c>
      <c r="D213" s="13" t="str">
        <f>vlookup(B213,Vert_Mapper!$A$2:$C$567,3,0)</f>
        <v>Retail &amp; E-commerce</v>
      </c>
      <c r="E213" s="13" t="s">
        <v>26</v>
      </c>
      <c r="F213" s="13" t="s">
        <v>18</v>
      </c>
      <c r="G213" s="13" t="str">
        <f t="shared" si="1"/>
        <v>FLAT TO NEUTRAL</v>
      </c>
      <c r="H213" s="13" t="s">
        <v>394</v>
      </c>
      <c r="I213" s="16">
        <f>IFERROR(__xludf.DUMMYFUNCTION("ROUND(
  MAX(
    MIN(
      (
        (VALUE(INDEX(SPLIT(K213,""-""),1)) + VALUE(INDEX(SPLIT(K213,""-""),2))) / 2
      ) *
      IFS(
        L213&gt;0.4, 1.6,
        L213&gt;0.1, 1.3,
        L213&gt;=-0.05, 1,
        L213&gt;=-0.2, 0.85,
        TRUE, 0.7
     "&amp;" ),
      VALUE(INDEX(SPLIT(K213,""-""),2))
    ),
    VALUE(INDEX(SPLIT(K213,""-""),1))
  )
)"),3001.0)</f>
        <v>3001</v>
      </c>
      <c r="J213" s="17">
        <f>I213*(VLOOKUP(C213,'Rev_Mapping Table'!$A$1:$C$12,3,0))</f>
        <v>1536512000</v>
      </c>
      <c r="K213" s="16" t="s">
        <v>96</v>
      </c>
      <c r="L213" s="18">
        <v>0.0</v>
      </c>
      <c r="M213" s="19" t="str">
        <f>VLOOKUP(B213,Master_Mapper!$A$2:$C$628,3,0)</f>
        <v>Investors Management Corp (IMC)</v>
      </c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</row>
    <row r="214">
      <c r="A214" s="21" t="b">
        <v>0</v>
      </c>
      <c r="B214" s="31" t="s">
        <v>395</v>
      </c>
      <c r="C214" s="23" t="s">
        <v>16</v>
      </c>
      <c r="D214" s="21" t="str">
        <f>vlookup(B214,Vert_Mapper!$A$2:$C$567,3,0)</f>
        <v>Automotive &amp; Transportation Equipment</v>
      </c>
      <c r="E214" s="21" t="s">
        <v>26</v>
      </c>
      <c r="F214" s="21" t="s">
        <v>18</v>
      </c>
      <c r="G214" s="21" t="str">
        <f t="shared" si="1"/>
        <v>FLAT TO NEUTRAL</v>
      </c>
      <c r="H214" s="21" t="s">
        <v>73</v>
      </c>
      <c r="I214" s="24">
        <f>IFERROR(__xludf.DUMMYFUNCTION("ROUND(
  MAX(
    MIN(
      (
        (VALUE(INDEX(SPLIT(K214,""-""),1)) + VALUE(INDEX(SPLIT(K214,""-""),2))) / 2
      ) *
      IFS(
        L214&gt;0.4, 1.6,
        L214&gt;0.1, 1.3,
        L214&gt;=-0.05, 1,
        L214&gt;=-0.2, 0.85,
        TRUE, 0.7
     "&amp;" ),
      VALUE(INDEX(SPLIT(K214,""-""),2))
    ),
    VALUE(INDEX(SPLIT(K214,""-""),1))
  )
)"),6.0)</f>
        <v>6</v>
      </c>
      <c r="J214" s="25">
        <f>I214*(VLOOKUP(C214,'Rev_Mapping Table'!$A$1:$C$12,3,0))</f>
        <v>2958000</v>
      </c>
      <c r="K214" s="32">
        <v>45698.0</v>
      </c>
      <c r="L214" s="26">
        <v>0.0</v>
      </c>
      <c r="M214" s="27" t="str">
        <f>VLOOKUP(B214,Master_Mapper!$A$2:$C$628,3,0)</f>
        <v/>
      </c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</row>
    <row r="215">
      <c r="A215" s="13" t="b">
        <v>0</v>
      </c>
      <c r="B215" s="14" t="s">
        <v>396</v>
      </c>
      <c r="C215" s="15" t="s">
        <v>16</v>
      </c>
      <c r="D215" s="13" t="str">
        <f>vlookup(B215,Vert_Mapper!$A$2:$C$567,3,0)</f>
        <v>Transportation &amp; Logistics</v>
      </c>
      <c r="E215" s="13" t="s">
        <v>26</v>
      </c>
      <c r="F215" s="13" t="s">
        <v>30</v>
      </c>
      <c r="G215" s="13" t="str">
        <f t="shared" si="1"/>
        <v>FLAT TO NEUTRAL</v>
      </c>
      <c r="H215" s="13" t="s">
        <v>24</v>
      </c>
      <c r="I215" s="16">
        <f>IFERROR(__xludf.DUMMYFUNCTION("ROUND(
  MAX(
    MIN(
      (
        (VALUE(INDEX(SPLIT(K215,""-""),1)) + VALUE(INDEX(SPLIT(K215,""-""),2))) / 2
      ) *
      IFS(
        L215&gt;0.4, 1.6,
        L215&gt;0.1, 1.3,
        L215&gt;=-0.05, 1,
        L215&gt;=-0.2, 0.85,
        TRUE, 0.7
     "&amp;" ),
      VALUE(INDEX(SPLIT(K215,""-""),2))
    ),
    VALUE(INDEX(SPLIT(K215,""-""),1))
  )
)"),3001.0)</f>
        <v>3001</v>
      </c>
      <c r="J215" s="17">
        <f>I215*(VLOOKUP(C215,'Rev_Mapping Table'!$A$1:$C$12,3,0))</f>
        <v>1479493000</v>
      </c>
      <c r="K215" s="16" t="s">
        <v>96</v>
      </c>
      <c r="L215" s="18">
        <v>0.01</v>
      </c>
      <c r="M215" s="19" t="str">
        <f>VLOOKUP(B215,Master_Mapper!$A$2:$C$628,3,0)</f>
        <v>Vibora Capital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</row>
    <row r="216">
      <c r="A216" s="21" t="b">
        <v>0</v>
      </c>
      <c r="B216" s="31" t="s">
        <v>397</v>
      </c>
      <c r="C216" s="23" t="s">
        <v>16</v>
      </c>
      <c r="D216" s="21" t="str">
        <f>vlookup(B216,Vert_Mapper!$A$2:$C$567,3,0)</f>
        <v>Home Services / Construction / Industrial Services</v>
      </c>
      <c r="E216" s="21" t="s">
        <v>29</v>
      </c>
      <c r="F216" s="21" t="s">
        <v>34</v>
      </c>
      <c r="G216" s="21" t="str">
        <f t="shared" si="1"/>
        <v>HYPERGROWTH</v>
      </c>
      <c r="H216" s="21" t="s">
        <v>131</v>
      </c>
      <c r="I216" s="24" t="str">
        <f>IFERROR(__xludf.DUMMYFUNCTION("ROUND(
  MAX(
    MIN(
      (
        (VALUE(INDEX(SPLIT(K216,""-""),1)) + VALUE(INDEX(SPLIT(K216,""-""),2))) / 2
      ) *
      IFS(
        L216&gt;0.4, 1.6,
        L216&gt;0.1, 1.3,
        L216&gt;=-0.05, 1,
        L216&gt;=-0.2, 0.85,
        TRUE, 0.7
     "&amp;" ),
      VALUE(INDEX(SPLIT(K216,""-""),2))
    ),
    VALUE(INDEX(SPLIT(K216,""-""),1))
  )
)"),"#VALUE!")</f>
        <v>#VALUE!</v>
      </c>
      <c r="J216" s="25" t="str">
        <f>I216*(VLOOKUP(C216,'Rev_Mapping Table'!$A$1:$C$12,3,0))</f>
        <v>#VALUE!</v>
      </c>
      <c r="K216" s="35" t="s">
        <v>131</v>
      </c>
      <c r="L216" s="35" t="s">
        <v>131</v>
      </c>
      <c r="M216" s="27" t="str">
        <f>VLOOKUP(B216,Master_Mapper!$A$2:$C$628,3,0)</f>
        <v/>
      </c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</row>
    <row r="217">
      <c r="A217" s="13" t="b">
        <v>0</v>
      </c>
      <c r="B217" s="14" t="s">
        <v>398</v>
      </c>
      <c r="C217" s="15" t="s">
        <v>22</v>
      </c>
      <c r="D217" s="13" t="str">
        <f>vlookup(B217,Vert_Mapper!$A$2:$C$567,3,0)</f>
        <v>Software &amp; SaaS</v>
      </c>
      <c r="E217" s="13" t="s">
        <v>26</v>
      </c>
      <c r="F217" s="13" t="s">
        <v>18</v>
      </c>
      <c r="G217" s="13" t="str">
        <f t="shared" si="1"/>
        <v>ACCELERATED GROWTH</v>
      </c>
      <c r="H217" s="13" t="s">
        <v>399</v>
      </c>
      <c r="I217" s="16">
        <f>IFERROR(__xludf.DUMMYFUNCTION("ROUND(
  MAX(
    MIN(
      (
        (VALUE(INDEX(SPLIT(K217,""-""),1)) + VALUE(INDEX(SPLIT(K217,""-""),2))) / 2
      ) *
      IFS(
        L217&gt;0.4, 1.6,
        L217&gt;0.1, 1.3,
        L217&gt;=-0.05, 1,
        L217&gt;=-0.2, 0.85,
        TRUE, 0.7
     "&amp;" ),
      VALUE(INDEX(SPLIT(K217,""-""),2))
    ),
    VALUE(INDEX(SPLIT(K217,""-""),1))
  )
)"),49.0)</f>
        <v>49</v>
      </c>
      <c r="J217" s="17">
        <f>I217*(VLOOKUP(C217,'Rev_Mapping Table'!$A$1:$C$12,3,0))</f>
        <v>27636000</v>
      </c>
      <c r="K217" s="16" t="s">
        <v>25</v>
      </c>
      <c r="L217" s="18">
        <v>0.52</v>
      </c>
      <c r="M217" s="19" t="str">
        <f>VLOOKUP(B217,Master_Mapper!$A$2:$C$628,3,0)</f>
        <v>Cerity Partners</v>
      </c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</row>
    <row r="218">
      <c r="A218" s="21" t="b">
        <v>0</v>
      </c>
      <c r="B218" s="31" t="s">
        <v>400</v>
      </c>
      <c r="C218" s="23" t="s">
        <v>46</v>
      </c>
      <c r="D218" s="21" t="str">
        <f>vlookup(B218,Vert_Mapper!$A$2:$C$567,3,0)</f>
        <v>Healthcare Services</v>
      </c>
      <c r="E218" s="21" t="s">
        <v>29</v>
      </c>
      <c r="F218" s="21" t="s">
        <v>30</v>
      </c>
      <c r="G218" s="21" t="str">
        <f t="shared" si="1"/>
        <v>GROWTH PHASE</v>
      </c>
      <c r="H218" s="21" t="s">
        <v>401</v>
      </c>
      <c r="I218" s="24">
        <f>IFERROR(__xludf.DUMMYFUNCTION("ROUND(
  MAX(
    MIN(
      (
        (VALUE(INDEX(SPLIT(K218,""-""),1)) + VALUE(INDEX(SPLIT(K218,""-""),2))) / 2
      ) *
      IFS(
        L218&gt;0.4, 1.6,
        L218&gt;0.1, 1.3,
        L218&gt;=-0.05, 1,
        L218&gt;=-0.2, 0.85,
        TRUE, 0.7
     "&amp;" ),
      VALUE(INDEX(SPLIT(K218,""-""),2))
    ),
    VALUE(INDEX(SPLIT(K218,""-""),1))
  )
)"),9751.0)</f>
        <v>9751</v>
      </c>
      <c r="J218" s="25">
        <f>I218*(VLOOKUP(C218,'Rev_Mapping Table'!$A$1:$C$12,3,0))</f>
        <v>5421556000</v>
      </c>
      <c r="K218" s="24" t="s">
        <v>81</v>
      </c>
      <c r="L218" s="26">
        <v>0.12</v>
      </c>
      <c r="M218" s="27" t="str">
        <f>VLOOKUP(B218,Master_Mapper!$A$2:$C$628,3,0)</f>
        <v>Succession Capital Partners</v>
      </c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</row>
    <row r="219">
      <c r="A219" s="13" t="b">
        <v>0</v>
      </c>
      <c r="B219" s="14" t="s">
        <v>402</v>
      </c>
      <c r="C219" s="15" t="s">
        <v>16</v>
      </c>
      <c r="D219" s="13" t="str">
        <f>vlookup(B219,Vert_Mapper!$A$2:$C$567,3,0)</f>
        <v>Home Services / Construction / Industrial Services</v>
      </c>
      <c r="E219" s="13" t="s">
        <v>65</v>
      </c>
      <c r="F219" s="13" t="s">
        <v>30</v>
      </c>
      <c r="G219" s="13" t="str">
        <f t="shared" si="1"/>
        <v>DECLINING</v>
      </c>
      <c r="H219" s="13" t="s">
        <v>403</v>
      </c>
      <c r="I219" s="16">
        <f>IFERROR(__xludf.DUMMYFUNCTION("ROUND(
  MAX(
    MIN(
      (
        (VALUE(INDEX(SPLIT(K219,""-""),1)) + VALUE(INDEX(SPLIT(K219,""-""),2))) / 2
      ) *
      IFS(
        L219&gt;0.4, 1.6,
        L219&gt;0.1, 1.3,
        L219&gt;=-0.05, 1,
        L219&gt;=-0.2, 0.85,
        TRUE, 0.7
     "&amp;" ),
      VALUE(INDEX(SPLIT(K219,""-""),2))
    ),
    VALUE(INDEX(SPLIT(K219,""-""),1))
  )
)"),26.0)</f>
        <v>26</v>
      </c>
      <c r="J219" s="17">
        <f>I219*(VLOOKUP(C219,'Rev_Mapping Table'!$A$1:$C$12,3,0))</f>
        <v>12818000</v>
      </c>
      <c r="K219" s="16" t="s">
        <v>25</v>
      </c>
      <c r="L219" s="18">
        <v>-0.09</v>
      </c>
      <c r="M219" s="19" t="str">
        <f>VLOOKUP(B219,Master_Mapper!$A$2:$C$628,3,0)</f>
        <v>Succession Capital Partners</v>
      </c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</row>
    <row r="220">
      <c r="A220" s="21" t="b">
        <v>0</v>
      </c>
      <c r="B220" s="31" t="s">
        <v>404</v>
      </c>
      <c r="C220" s="23" t="s">
        <v>16</v>
      </c>
      <c r="D220" s="21" t="str">
        <f>vlookup(B220,Vert_Mapper!$A$2:$C$567,3,0)</f>
        <v>Home Services / Construction / Industrial Services</v>
      </c>
      <c r="E220" s="21" t="s">
        <v>29</v>
      </c>
      <c r="F220" s="21" t="s">
        <v>34</v>
      </c>
      <c r="G220" s="21" t="str">
        <f t="shared" si="1"/>
        <v>GROWTH PHASE</v>
      </c>
      <c r="H220" s="21" t="s">
        <v>405</v>
      </c>
      <c r="I220" s="24">
        <f>IFERROR(__xludf.DUMMYFUNCTION("ROUND(
  MAX(
    MIN(
      (
        (VALUE(INDEX(SPLIT(K220,""-""),1)) + VALUE(INDEX(SPLIT(K220,""-""),2))) / 2
      ) *
      IFS(
        L220&gt;0.4, 1.6,
        L220&gt;0.1, 1.3,
        L220&gt;=-0.05, 1,
        L220&gt;=-0.2, 0.85,
        TRUE, 0.7
     "&amp;" ),
      VALUE(INDEX(SPLIT(K220,""-""),2))
    ),
    VALUE(INDEX(SPLIT(K220,""-""),1))
  )
)"),9751.0)</f>
        <v>9751</v>
      </c>
      <c r="J220" s="25">
        <f>I220*(VLOOKUP(C220,'Rev_Mapping Table'!$A$1:$C$12,3,0))</f>
        <v>4807243000</v>
      </c>
      <c r="K220" s="24" t="s">
        <v>81</v>
      </c>
      <c r="L220" s="26">
        <v>0.11</v>
      </c>
      <c r="M220" s="27" t="str">
        <f>VLOOKUP(B220,Master_Mapper!$A$2:$C$628,3,0)</f>
        <v>Succession Capital Partners</v>
      </c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</row>
    <row r="221">
      <c r="A221" s="13" t="b">
        <v>0</v>
      </c>
      <c r="B221" s="14" t="s">
        <v>406</v>
      </c>
      <c r="C221" s="15" t="s">
        <v>16</v>
      </c>
      <c r="D221" s="13" t="str">
        <f>vlookup(B221,Vert_Mapper!$A$2:$C$567,3,0)</f>
        <v>Manufacturing &amp; Processing</v>
      </c>
      <c r="E221" s="13" t="s">
        <v>26</v>
      </c>
      <c r="F221" s="13" t="s">
        <v>18</v>
      </c>
      <c r="G221" s="13" t="str">
        <f t="shared" si="1"/>
        <v>GROWTH PHASE</v>
      </c>
      <c r="H221" s="13" t="s">
        <v>407</v>
      </c>
      <c r="I221" s="16">
        <f>IFERROR(__xludf.DUMMYFUNCTION("ROUND(
  MAX(
    MIN(
      (
        (VALUE(INDEX(SPLIT(K221,""-""),1)) + VALUE(INDEX(SPLIT(K221,""-""),2))) / 2
      ) *
      IFS(
        L221&gt;0.4, 1.6,
        L221&gt;0.1, 1.3,
        L221&gt;=-0.05, 1,
        L221&gt;=-0.2, 0.85,
        TRUE, 0.7
     "&amp;" ),
      VALUE(INDEX(SPLIT(K221,""-""),2))
    ),
    VALUE(INDEX(SPLIT(K221,""-""),1))
  )
)"),126.0)</f>
        <v>126</v>
      </c>
      <c r="J221" s="17">
        <f>I221*(VLOOKUP(C221,'Rev_Mapping Table'!$A$1:$C$12,3,0))</f>
        <v>62118000</v>
      </c>
      <c r="K221" s="16" t="s">
        <v>32</v>
      </c>
      <c r="L221" s="18">
        <v>0.08</v>
      </c>
      <c r="M221" s="19" t="str">
        <f>VLOOKUP(B221,Master_Mapper!$A$2:$C$628,3,0)</f>
        <v>Summit Park</v>
      </c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</row>
    <row r="222">
      <c r="A222" s="21" t="b">
        <v>0</v>
      </c>
      <c r="B222" s="31" t="s">
        <v>408</v>
      </c>
      <c r="C222" s="23" t="s">
        <v>16</v>
      </c>
      <c r="D222" s="21" t="str">
        <f>vlookup(B222,Vert_Mapper!$A$2:$C$567,3,0)</f>
        <v>Industrial Equipment &amp; Services</v>
      </c>
      <c r="E222" s="21" t="s">
        <v>65</v>
      </c>
      <c r="F222" s="21" t="s">
        <v>30</v>
      </c>
      <c r="G222" s="21" t="str">
        <f t="shared" si="1"/>
        <v>ACCELERATED GROWTH</v>
      </c>
      <c r="H222" s="21" t="s">
        <v>407</v>
      </c>
      <c r="I222" s="24">
        <f>IFERROR(__xludf.DUMMYFUNCTION("ROUND(
  MAX(
    MIN(
      (
        (VALUE(INDEX(SPLIT(K222,""-""),1)) + VALUE(INDEX(SPLIT(K222,""-""),2))) / 2
      ) *
      IFS(
        L222&gt;0.4, 1.6,
        L222&gt;0.1, 1.3,
        L222&gt;=-0.05, 1,
        L222&gt;=-0.2, 0.85,
        TRUE, 0.7
     "&amp;" ),
      VALUE(INDEX(SPLIT(K222,""-""),2))
    ),
    VALUE(INDEX(SPLIT(K222,""-""),1))
  )
)"),40.0)</f>
        <v>40</v>
      </c>
      <c r="J222" s="25">
        <f>I222*(VLOOKUP(C222,'Rev_Mapping Table'!$A$1:$C$12,3,0))</f>
        <v>19720000</v>
      </c>
      <c r="K222" s="24" t="s">
        <v>25</v>
      </c>
      <c r="L222" s="26">
        <v>0.21</v>
      </c>
      <c r="M222" s="27" t="str">
        <f>VLOOKUP(B222,Master_Mapper!$A$2:$C$628,3,0)</f>
        <v>Route 2 Capital Partners</v>
      </c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</row>
    <row r="223">
      <c r="A223" s="13" t="b">
        <v>0</v>
      </c>
      <c r="B223" s="14" t="s">
        <v>409</v>
      </c>
      <c r="C223" s="15" t="s">
        <v>16</v>
      </c>
      <c r="D223" s="13" t="str">
        <f>vlookup(B223,Vert_Mapper!$A$2:$C$567,3,0)</f>
        <v>Home Services / Construction / Industrial Services</v>
      </c>
      <c r="E223" s="13" t="s">
        <v>65</v>
      </c>
      <c r="F223" s="13" t="s">
        <v>30</v>
      </c>
      <c r="G223" s="13" t="str">
        <f t="shared" si="1"/>
        <v>GROWTH PHASE</v>
      </c>
      <c r="H223" s="13" t="s">
        <v>73</v>
      </c>
      <c r="I223" s="16">
        <f>IFERROR(__xludf.DUMMYFUNCTION("ROUND(
  MAX(
    MIN(
      (
        (VALUE(INDEX(SPLIT(K223,""-""),1)) + VALUE(INDEX(SPLIT(K223,""-""),2))) / 2
      ) *
      IFS(
        L223&gt;0.4, 1.6,
        L223&gt;0.1, 1.3,
        L223&gt;=-0.05, 1,
        L223&gt;=-0.2, 0.85,
        TRUE, 0.7
     "&amp;" ),
      VALUE(INDEX(SPLIT(K223,""-""),2))
    ),
    VALUE(INDEX(SPLIT(K223,""-""),1))
  )
)"),163.0)</f>
        <v>163</v>
      </c>
      <c r="J223" s="17">
        <f>I223*(VLOOKUP(C223,'Rev_Mapping Table'!$A$1:$C$12,3,0))</f>
        <v>80359000</v>
      </c>
      <c r="K223" s="16" t="s">
        <v>32</v>
      </c>
      <c r="L223" s="18">
        <v>0.19</v>
      </c>
      <c r="M223" s="19" t="str">
        <f>VLOOKUP(B223,Master_Mapper!$A$2:$C$628,3,0)</f>
        <v>Falfurrias Capital Partners</v>
      </c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</row>
    <row r="224">
      <c r="A224" s="21" t="b">
        <v>0</v>
      </c>
      <c r="B224" s="31" t="s">
        <v>410</v>
      </c>
      <c r="C224" s="23" t="s">
        <v>46</v>
      </c>
      <c r="D224" s="21" t="str">
        <f>vlookup(B224,Vert_Mapper!$A$2:$C$567,3,0)</f>
        <v>Biotechnology &amp; Pharmaceuticals</v>
      </c>
      <c r="E224" s="21" t="s">
        <v>26</v>
      </c>
      <c r="F224" s="21" t="s">
        <v>18</v>
      </c>
      <c r="G224" s="21" t="str">
        <f t="shared" si="1"/>
        <v>FLAT TO NEUTRAL</v>
      </c>
      <c r="H224" s="21" t="s">
        <v>411</v>
      </c>
      <c r="I224" s="24">
        <f>IFERROR(__xludf.DUMMYFUNCTION("ROUND(
  MAX(
    MIN(
      (
        (VALUE(INDEX(SPLIT(K224,""-""),1)) + VALUE(INDEX(SPLIT(K224,""-""),2))) / 2
      ) *
      IFS(
        L224&gt;0.4, 1.6,
        L224&gt;0.1, 1.3,
        L224&gt;=-0.05, 1,
        L224&gt;=-0.2, 0.85,
        TRUE, 0.7
     "&amp;" ),
      VALUE(INDEX(SPLIT(K224,""-""),2))
    ),
    VALUE(INDEX(SPLIT(K224,""-""),1))
  )
)"),126.0)</f>
        <v>126</v>
      </c>
      <c r="J224" s="25">
        <f>I224*(VLOOKUP(C224,'Rev_Mapping Table'!$A$1:$C$12,3,0))</f>
        <v>70056000</v>
      </c>
      <c r="K224" s="24" t="s">
        <v>32</v>
      </c>
      <c r="L224" s="26">
        <v>0.03</v>
      </c>
      <c r="M224" s="27" t="str">
        <f>VLOOKUP(B224,Master_Mapper!$A$2:$C$628,3,0)</f>
        <v>NovaQuest Capital Mgmt</v>
      </c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</row>
    <row r="225">
      <c r="A225" s="13" t="b">
        <v>0</v>
      </c>
      <c r="B225" s="14" t="s">
        <v>412</v>
      </c>
      <c r="C225" s="15" t="s">
        <v>64</v>
      </c>
      <c r="D225" s="13" t="str">
        <f>vlookup(B225,Vert_Mapper!$A$2:$C$567,3,0)</f>
        <v>Advanced Materials</v>
      </c>
      <c r="E225" s="13" t="s">
        <v>26</v>
      </c>
      <c r="F225" s="13" t="s">
        <v>18</v>
      </c>
      <c r="G225" s="13" t="str">
        <f t="shared" si="1"/>
        <v>GROWTH PHASE</v>
      </c>
      <c r="H225" s="13" t="s">
        <v>413</v>
      </c>
      <c r="I225" s="16">
        <f>IFERROR(__xludf.DUMMYFUNCTION("ROUND(
  MAX(
    MIN(
      (
        (VALUE(INDEX(SPLIT(K225,""-""),1)) + VALUE(INDEX(SPLIT(K225,""-""),2))) / 2
      ) *
      IFS(
        L225&gt;0.4, 1.6,
        L225&gt;0.1, 1.3,
        L225&gt;=-0.05, 1,
        L225&gt;=-0.2, 0.85,
        TRUE, 0.7
     "&amp;" ),
      VALUE(INDEX(SPLIT(K225,""-""),2))
    ),
    VALUE(INDEX(SPLIT(K225,""-""),1))
  )
)"),751.0)</f>
        <v>751</v>
      </c>
      <c r="J225" s="17">
        <f>I225*(VLOOKUP(C225,'Rev_Mapping Table'!$A$1:$C$12,3,0))</f>
        <v>370243000</v>
      </c>
      <c r="K225" s="16" t="s">
        <v>54</v>
      </c>
      <c r="L225" s="18">
        <v>0.08</v>
      </c>
      <c r="M225" s="19" t="str">
        <f>VLOOKUP(B225,Master_Mapper!$A$2:$C$628,3,0)</f>
        <v>Cerity Partners</v>
      </c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</row>
    <row r="226">
      <c r="A226" s="21" t="b">
        <v>0</v>
      </c>
      <c r="B226" s="31" t="s">
        <v>414</v>
      </c>
      <c r="C226" s="23" t="s">
        <v>217</v>
      </c>
      <c r="D226" s="21" t="str">
        <f>vlookup(B226,Vert_Mapper!$A$2:$C$567,3,0)</f>
        <v>Energy Management &amp; Trading</v>
      </c>
      <c r="E226" s="21" t="s">
        <v>26</v>
      </c>
      <c r="F226" s="21" t="s">
        <v>18</v>
      </c>
      <c r="G226" s="21" t="str">
        <f t="shared" si="1"/>
        <v>HYPERGROWTH</v>
      </c>
      <c r="H226" s="21" t="s">
        <v>131</v>
      </c>
      <c r="I226" s="24" t="str">
        <f>IFERROR(__xludf.DUMMYFUNCTION("ROUND(
  MAX(
    MIN(
      (
        (VALUE(INDEX(SPLIT(K226,""-""),1)) + VALUE(INDEX(SPLIT(K226,""-""),2))) / 2
      ) *
      IFS(
        L226&gt;0.4, 1.6,
        L226&gt;0.1, 1.3,
        L226&gt;=-0.05, 1,
        L226&gt;=-0.2, 0.85,
        TRUE, 0.7
     "&amp;" ),
      VALUE(INDEX(SPLIT(K226,""-""),2))
    ),
    VALUE(INDEX(SPLIT(K226,""-""),1))
  )
)"),"#VALUE!")</f>
        <v>#VALUE!</v>
      </c>
      <c r="J226" s="25" t="str">
        <f>I226*(VLOOKUP(C226,'Rev_Mapping Table'!$A$1:$C$12,3,0))</f>
        <v>#VALUE!</v>
      </c>
      <c r="K226" s="35" t="s">
        <v>131</v>
      </c>
      <c r="L226" s="35" t="s">
        <v>131</v>
      </c>
      <c r="M226" s="27" t="str">
        <f>VLOOKUP(B226,Master_Mapper!$A$2:$C$628,3,0)</f>
        <v>VentureSouth</v>
      </c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</row>
    <row r="227">
      <c r="A227" s="13" t="b">
        <v>0</v>
      </c>
      <c r="B227" s="14" t="s">
        <v>415</v>
      </c>
      <c r="C227" s="15" t="s">
        <v>38</v>
      </c>
      <c r="D227" s="13" t="str">
        <f>vlookup(B227,Vert_Mapper!$A$2:$C$567,3,0)</f>
        <v>Venture Capital &amp; Private Equity</v>
      </c>
      <c r="E227" s="13" t="s">
        <v>26</v>
      </c>
      <c r="F227" s="13" t="s">
        <v>18</v>
      </c>
      <c r="G227" s="13" t="str">
        <f t="shared" si="1"/>
        <v>FLAT TO NEUTRAL</v>
      </c>
      <c r="H227" s="13" t="s">
        <v>40</v>
      </c>
      <c r="I227" s="16">
        <f>IFERROR(__xludf.DUMMYFUNCTION("ROUND(
  MAX(
    MIN(
      (
        (VALUE(INDEX(SPLIT(K227,""-""),1)) + VALUE(INDEX(SPLIT(K227,""-""),2))) / 2
      ) *
      IFS(
        L227&gt;0.4, 1.6,
        L227&gt;0.1, 1.3,
        L227&gt;=-0.05, 1,
        L227&gt;=-0.2, 0.85,
        TRUE, 0.7
     "&amp;" ),
      VALUE(INDEX(SPLIT(K227,""-""),2))
    ),
    VALUE(INDEX(SPLIT(K227,""-""),1))
  )
)"),6.0)</f>
        <v>6</v>
      </c>
      <c r="J227" s="17">
        <f>I227*(VLOOKUP(C227,'Rev_Mapping Table'!$A$1:$C$12,3,0))</f>
        <v>5430000</v>
      </c>
      <c r="K227" s="30">
        <v>45698.0</v>
      </c>
      <c r="L227" s="18">
        <v>0.0</v>
      </c>
      <c r="M227" s="19" t="str">
        <f>VLOOKUP(B227,Master_Mapper!$A$2:$C$628,3,0)</f>
        <v/>
      </c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</row>
    <row r="228">
      <c r="A228" s="21" t="b">
        <v>0</v>
      </c>
      <c r="B228" s="31" t="s">
        <v>416</v>
      </c>
      <c r="C228" s="23" t="s">
        <v>22</v>
      </c>
      <c r="D228" s="21" t="str">
        <f>vlookup(B228,Vert_Mapper!$A$2:$C$567,3,0)</f>
        <v>Software &amp; SaaS</v>
      </c>
      <c r="E228" s="21" t="s">
        <v>26</v>
      </c>
      <c r="F228" s="21" t="s">
        <v>18</v>
      </c>
      <c r="G228" s="21" t="str">
        <f t="shared" si="1"/>
        <v>ACCELERATED GROWTH</v>
      </c>
      <c r="H228" s="21" t="s">
        <v>151</v>
      </c>
      <c r="I228" s="24">
        <f>IFERROR(__xludf.DUMMYFUNCTION("ROUND(
  MAX(
    MIN(
      (
        (VALUE(INDEX(SPLIT(K228,""-""),1)) + VALUE(INDEX(SPLIT(K228,""-""),2))) / 2
      ) *
      IFS(
        L228&gt;0.4, 1.6,
        L228&gt;0.1, 1.3,
        L228&gt;=-0.05, 1,
        L228&gt;=-0.2, 0.85,
        TRUE, 0.7
     "&amp;" ),
      VALUE(INDEX(SPLIT(K228,""-""),2))
    ),
    VALUE(INDEX(SPLIT(K228,""-""),1))
  )
)"),163.0)</f>
        <v>163</v>
      </c>
      <c r="J228" s="25">
        <f>I228*(VLOOKUP(C228,'Rev_Mapping Table'!$A$1:$C$12,3,0))</f>
        <v>91932000</v>
      </c>
      <c r="K228" s="24" t="s">
        <v>32</v>
      </c>
      <c r="L228" s="26">
        <v>0.28</v>
      </c>
      <c r="M228" s="27" t="str">
        <f>VLOOKUP(B228,Master_Mapper!$A$2:$C$628,3,0)</f>
        <v>VentureSouth</v>
      </c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</row>
    <row r="229">
      <c r="A229" s="13" t="b">
        <v>0</v>
      </c>
      <c r="B229" s="14" t="s">
        <v>417</v>
      </c>
      <c r="C229" s="15" t="s">
        <v>16</v>
      </c>
      <c r="D229" s="13" t="str">
        <f>vlookup(B229,Vert_Mapper!$A$2:$C$567,3,0)</f>
        <v>Industrial Equipment &amp; Services</v>
      </c>
      <c r="E229" s="13" t="s">
        <v>29</v>
      </c>
      <c r="F229" s="13" t="s">
        <v>34</v>
      </c>
      <c r="G229" s="13" t="str">
        <f t="shared" si="1"/>
        <v>GROWTH PHASE</v>
      </c>
      <c r="H229" s="13" t="s">
        <v>73</v>
      </c>
      <c r="I229" s="16">
        <f>IFERROR(__xludf.DUMMYFUNCTION("ROUND(
  MAX(
    MIN(
      (
        (VALUE(INDEX(SPLIT(K229,""-""),1)) + VALUE(INDEX(SPLIT(K229,""-""),2))) / 2
      ) *
      IFS(
        L229&gt;0.4, 1.6,
        L229&gt;0.1, 1.3,
        L229&gt;=-0.05, 1,
        L229&gt;=-0.2, 0.85,
        TRUE, 0.7
     "&amp;" ),
      VALUE(INDEX(SPLIT(K229,""-""),2))
    ),
    VALUE(INDEX(SPLIT(K229,""-""),1))
  )
)"),163.0)</f>
        <v>163</v>
      </c>
      <c r="J229" s="17">
        <f>I229*(VLOOKUP(C229,'Rev_Mapping Table'!$A$1:$C$12,3,0))</f>
        <v>80359000</v>
      </c>
      <c r="K229" s="16" t="s">
        <v>32</v>
      </c>
      <c r="L229" s="18">
        <v>0.14</v>
      </c>
      <c r="M229" s="19" t="str">
        <f>VLOOKUP(B229,Master_Mapper!$A$2:$C$628,3,0)</f>
        <v>Envest Capital Partners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</row>
    <row r="230">
      <c r="A230" s="21" t="b">
        <v>0</v>
      </c>
      <c r="B230" s="31" t="s">
        <v>418</v>
      </c>
      <c r="C230" s="23" t="s">
        <v>22</v>
      </c>
      <c r="D230" s="21" t="str">
        <f>vlookup(B230,Vert_Mapper!$A$2:$C$567,3,0)</f>
        <v>Software &amp; SaaS</v>
      </c>
      <c r="E230" s="21" t="s">
        <v>26</v>
      </c>
      <c r="F230" s="21" t="s">
        <v>18</v>
      </c>
      <c r="G230" s="21" t="str">
        <f t="shared" si="1"/>
        <v>FLAT TO NEUTRAL</v>
      </c>
      <c r="H230" s="21" t="s">
        <v>100</v>
      </c>
      <c r="I230" s="24">
        <f>IFERROR(__xludf.DUMMYFUNCTION("ROUND(
  MAX(
    MIN(
      (
        (VALUE(INDEX(SPLIT(K230,""-""),1)) + VALUE(INDEX(SPLIT(K230,""-""),2))) / 2
      ) *
      IFS(
        L230&gt;0.4, 1.6,
        L230&gt;0.1, 1.3,
        L230&gt;=-0.05, 1,
        L230&gt;=-0.2, 0.85,
        TRUE, 0.7
     "&amp;" ),
      VALUE(INDEX(SPLIT(K230,""-""),2))
    ),
    VALUE(INDEX(SPLIT(K230,""-""),1))
  )
)"),31.0)</f>
        <v>31</v>
      </c>
      <c r="J230" s="25">
        <f>I230*(VLOOKUP(C230,'Rev_Mapping Table'!$A$1:$C$12,3,0))</f>
        <v>17484000</v>
      </c>
      <c r="K230" s="24" t="s">
        <v>25</v>
      </c>
      <c r="L230" s="26">
        <v>0.0</v>
      </c>
      <c r="M230" s="27" t="str">
        <f>VLOOKUP(B230,Master_Mapper!$A$2:$C$628,3,0)</f>
        <v>VentureSouth</v>
      </c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</row>
    <row r="231">
      <c r="A231" s="13" t="b">
        <v>0</v>
      </c>
      <c r="B231" s="14" t="s">
        <v>419</v>
      </c>
      <c r="C231" s="15" t="s">
        <v>56</v>
      </c>
      <c r="D231" s="13" t="str">
        <f>vlookup(B231,Vert_Mapper!$A$2:$C$567,3,0)</f>
        <v>Restaurants &amp; Food Services</v>
      </c>
      <c r="E231" s="13" t="s">
        <v>26</v>
      </c>
      <c r="F231" s="13" t="s">
        <v>18</v>
      </c>
      <c r="G231" s="13" t="str">
        <f t="shared" si="1"/>
        <v>GROWTH PHASE</v>
      </c>
      <c r="H231" s="13" t="s">
        <v>151</v>
      </c>
      <c r="I231" s="16">
        <f>IFERROR(__xludf.DUMMYFUNCTION("ROUND(
  MAX(
    MIN(
      (
        (VALUE(INDEX(SPLIT(K231,""-""),1)) + VALUE(INDEX(SPLIT(K231,""-""),2))) / 2
      ) *
      IFS(
        L231&gt;0.4, 1.6,
        L231&gt;0.1, 1.3,
        L231&gt;=-0.05, 1,
        L231&gt;=-0.2, 0.85,
        TRUE, 0.7
     "&amp;" ),
      VALUE(INDEX(SPLIT(K231,""-""),2))
    ),
    VALUE(INDEX(SPLIT(K231,""-""),1))
  )
)"),7501.0)</f>
        <v>7501</v>
      </c>
      <c r="J231" s="17">
        <f>I231*(VLOOKUP(C231,'Rev_Mapping Table'!$A$1:$C$12,3,0))</f>
        <v>3840512000</v>
      </c>
      <c r="K231" s="16" t="s">
        <v>81</v>
      </c>
      <c r="L231" s="18">
        <v>0.06</v>
      </c>
      <c r="M231" s="19" t="str">
        <f>VLOOKUP(B231,Master_Mapper!$A$2:$C$628,3,0)</f>
        <v>Investors Management Corp (IMC)</v>
      </c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</row>
    <row r="232">
      <c r="A232" s="21" t="b">
        <v>0</v>
      </c>
      <c r="B232" s="31" t="s">
        <v>420</v>
      </c>
      <c r="C232" s="23" t="s">
        <v>56</v>
      </c>
      <c r="D232" s="21" t="str">
        <f>vlookup(B232,Vert_Mapper!$A$2:$C$567,3,0)</f>
        <v>Retail &amp; E-commerce</v>
      </c>
      <c r="E232" s="21" t="s">
        <v>26</v>
      </c>
      <c r="F232" s="21" t="s">
        <v>18</v>
      </c>
      <c r="G232" s="21" t="str">
        <f t="shared" si="1"/>
        <v>SEVERELY NEGATIVE</v>
      </c>
      <c r="H232" s="21" t="s">
        <v>83</v>
      </c>
      <c r="I232" s="24">
        <f>IFERROR(__xludf.DUMMYFUNCTION("ROUND(
  MAX(
    MIN(
      (
        (VALUE(INDEX(SPLIT(K232,""-""),1)) + VALUE(INDEX(SPLIT(K232,""-""),2))) / 2
      ) *
      IFS(
        L232&gt;0.4, 1.6,
        L232&gt;0.1, 1.3,
        L232&gt;=-0.05, 1,
        L232&gt;=-0.2, 0.85,
        TRUE, 0.7
     "&amp;" ),
      VALUE(INDEX(SPLIT(K232,""-""),2))
    ),
    VALUE(INDEX(SPLIT(K232,""-""),1))
  )
)"),88.0)</f>
        <v>88</v>
      </c>
      <c r="J232" s="25">
        <f>I232*(VLOOKUP(C232,'Rev_Mapping Table'!$A$1:$C$12,3,0))</f>
        <v>45056000</v>
      </c>
      <c r="K232" s="24" t="s">
        <v>32</v>
      </c>
      <c r="L232" s="26">
        <v>-0.29</v>
      </c>
      <c r="M232" s="27" t="str">
        <f>VLOOKUP(B232,Master_Mapper!$A$2:$C$628,3,0)</f>
        <v>Cerity Partners</v>
      </c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</row>
    <row r="233">
      <c r="A233" s="13" t="b">
        <v>0</v>
      </c>
      <c r="B233" s="14" t="s">
        <v>421</v>
      </c>
      <c r="C233" s="15" t="s">
        <v>46</v>
      </c>
      <c r="D233" s="13" t="str">
        <f>vlookup(B233,Vert_Mapper!$A$2:$C$567,3,0)</f>
        <v>Healthcare Technology &amp; Analytics</v>
      </c>
      <c r="E233" s="13" t="s">
        <v>26</v>
      </c>
      <c r="F233" s="13" t="s">
        <v>18</v>
      </c>
      <c r="G233" s="13" t="str">
        <f t="shared" si="1"/>
        <v>ACCELERATED GROWTH</v>
      </c>
      <c r="H233" s="13" t="s">
        <v>66</v>
      </c>
      <c r="I233" s="16">
        <f>IFERROR(__xludf.DUMMYFUNCTION("ROUND(
  MAX(
    MIN(
      (
        (VALUE(INDEX(SPLIT(K233,""-""),1)) + VALUE(INDEX(SPLIT(K233,""-""),2))) / 2
      ) *
      IFS(
        L233&gt;0.4, 1.6,
        L233&gt;0.1, 1.3,
        L233&gt;=-0.05, 1,
        L233&gt;=-0.2, 0.85,
        TRUE, 0.7
     "&amp;" ),
      VALUE(INDEX(SPLIT(K233,""-""),2))
    ),
    VALUE(INDEX(SPLIT(K233,""-""),1))
  )
)"),40.0)</f>
        <v>40</v>
      </c>
      <c r="J233" s="17">
        <f>I233*(VLOOKUP(C233,'Rev_Mapping Table'!$A$1:$C$12,3,0))</f>
        <v>22240000</v>
      </c>
      <c r="K233" s="16" t="s">
        <v>25</v>
      </c>
      <c r="L233" s="18">
        <v>0.26</v>
      </c>
      <c r="M233" s="19" t="str">
        <f>VLOOKUP(B233,Master_Mapper!$A$2:$C$628,3,0)</f>
        <v>VentureSouth</v>
      </c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</row>
    <row r="234">
      <c r="A234" s="21" t="b">
        <v>0</v>
      </c>
      <c r="B234" s="31" t="s">
        <v>422</v>
      </c>
      <c r="C234" s="23" t="s">
        <v>22</v>
      </c>
      <c r="D234" s="21" t="str">
        <f>vlookup(B234,Vert_Mapper!$A$2:$C$567,3,0)</f>
        <v>Software &amp; SaaS</v>
      </c>
      <c r="E234" s="21" t="s">
        <v>26</v>
      </c>
      <c r="F234" s="21" t="s">
        <v>18</v>
      </c>
      <c r="G234" s="21" t="str">
        <f t="shared" si="1"/>
        <v>ACCELERATED GROWTH</v>
      </c>
      <c r="H234" s="21" t="s">
        <v>83</v>
      </c>
      <c r="I234" s="24">
        <f>IFERROR(__xludf.DUMMYFUNCTION("ROUND(
  MAX(
    MIN(
      (
        (VALUE(INDEX(SPLIT(K234,""-""),1)) + VALUE(INDEX(SPLIT(K234,""-""),2))) / 2
      ) *
      IFS(
        L234&gt;0.4, 1.6,
        L234&gt;0.1, 1.3,
        L234&gt;=-0.05, 1,
        L234&gt;=-0.2, 0.85,
        TRUE, 0.7
     "&amp;" ),
      VALUE(INDEX(SPLIT(K234,""-""),2))
    ),
    VALUE(INDEX(SPLIT(K234,""-""),1))
  )
)"),200.0)</f>
        <v>200</v>
      </c>
      <c r="J234" s="25">
        <f>I234*(VLOOKUP(C234,'Rev_Mapping Table'!$A$1:$C$12,3,0))</f>
        <v>112800000</v>
      </c>
      <c r="K234" s="24" t="s">
        <v>32</v>
      </c>
      <c r="L234" s="26">
        <v>0.6</v>
      </c>
      <c r="M234" s="27" t="str">
        <f>VLOOKUP(B234,Master_Mapper!$A$2:$C$628,3,0)</f>
        <v>Cerity Partners</v>
      </c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</row>
    <row r="235">
      <c r="A235" s="13" t="b">
        <v>0</v>
      </c>
      <c r="B235" s="14" t="s">
        <v>423</v>
      </c>
      <c r="C235" s="15" t="s">
        <v>56</v>
      </c>
      <c r="D235" s="13" t="str">
        <f>vlookup(B235,Vert_Mapper!$A$2:$C$567,3,0)</f>
        <v>Consumer Products</v>
      </c>
      <c r="E235" s="13" t="s">
        <v>26</v>
      </c>
      <c r="F235" s="13" t="s">
        <v>18</v>
      </c>
      <c r="G235" s="13" t="str">
        <f t="shared" si="1"/>
        <v>FLAT TO NEUTRAL</v>
      </c>
      <c r="H235" s="13" t="s">
        <v>424</v>
      </c>
      <c r="I235" s="16">
        <f>IFERROR(__xludf.DUMMYFUNCTION("ROUND(
  MAX(
    MIN(
      (
        (VALUE(INDEX(SPLIT(K235,""-""),1)) + VALUE(INDEX(SPLIT(K235,""-""),2))) / 2
      ) *
      IFS(
        L235&gt;0.4, 1.6,
        L235&gt;0.1, 1.3,
        L235&gt;=-0.05, 1,
        L235&gt;=-0.2, 0.85,
        TRUE, 0.7
     "&amp;" ),
      VALUE(INDEX(SPLIT(K235,""-""),2))
    ),
    VALUE(INDEX(SPLIT(K235,""-""),1))
  )
)"),31.0)</f>
        <v>31</v>
      </c>
      <c r="J235" s="17">
        <f>I235*(VLOOKUP(C235,'Rev_Mapping Table'!$A$1:$C$12,3,0))</f>
        <v>15872000</v>
      </c>
      <c r="K235" s="16" t="s">
        <v>25</v>
      </c>
      <c r="L235" s="18">
        <v>0.0</v>
      </c>
      <c r="M235" s="19" t="str">
        <f>VLOOKUP(B235,Master_Mapper!$A$2:$C$628,3,0)</f>
        <v>Falfurrias Capital Partners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</row>
    <row r="236">
      <c r="A236" s="21" t="b">
        <v>0</v>
      </c>
      <c r="B236" s="31" t="s">
        <v>425</v>
      </c>
      <c r="C236" s="23" t="s">
        <v>38</v>
      </c>
      <c r="D236" s="21" t="str">
        <f>vlookup(B236,Vert_Mapper!$A$2:$C$567,3,0)</f>
        <v>Financial Technology &amp; Investment Services</v>
      </c>
      <c r="E236" s="21" t="s">
        <v>26</v>
      </c>
      <c r="F236" s="21" t="s">
        <v>18</v>
      </c>
      <c r="G236" s="21" t="str">
        <f t="shared" si="1"/>
        <v>FLAT TO NEUTRAL</v>
      </c>
      <c r="H236" s="21" t="s">
        <v>100</v>
      </c>
      <c r="I236" s="24">
        <f>IFERROR(__xludf.DUMMYFUNCTION("ROUND(
  MAX(
    MIN(
      (
        (VALUE(INDEX(SPLIT(K236,""-""),1)) + VALUE(INDEX(SPLIT(K236,""-""),2))) / 2
      ) *
      IFS(
        L236&gt;0.4, 1.6,
        L236&gt;0.1, 1.3,
        L236&gt;=-0.05, 1,
        L236&gt;=-0.2, 0.85,
        TRUE, 0.7
     "&amp;" ),
      VALUE(INDEX(SPLIT(K236,""-""),2))
    ),
    VALUE(INDEX(SPLIT(K236,""-""),1))
  )
)"),351.0)</f>
        <v>351</v>
      </c>
      <c r="J236" s="25">
        <f>I236*(VLOOKUP(C236,'Rev_Mapping Table'!$A$1:$C$12,3,0))</f>
        <v>317655000</v>
      </c>
      <c r="K236" s="24" t="s">
        <v>20</v>
      </c>
      <c r="L236" s="26">
        <v>0.03</v>
      </c>
      <c r="M236" s="27" t="str">
        <f>VLOOKUP(B236,Master_Mapper!$A$2:$C$628,3,0)</f>
        <v>Vibora Capital</v>
      </c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</row>
    <row r="237">
      <c r="A237" s="13" t="b">
        <v>0</v>
      </c>
      <c r="B237" s="14" t="s">
        <v>426</v>
      </c>
      <c r="C237" s="15" t="s">
        <v>64</v>
      </c>
      <c r="D237" s="13" t="str">
        <f>vlookup(B237,Vert_Mapper!$A$2:$C$567,3,0)</f>
        <v>Agriculture Technology</v>
      </c>
      <c r="E237" s="13" t="s">
        <v>26</v>
      </c>
      <c r="F237" s="13" t="s">
        <v>18</v>
      </c>
      <c r="G237" s="13" t="str">
        <f t="shared" si="1"/>
        <v>FLAT TO NEUTRAL</v>
      </c>
      <c r="H237" s="13" t="s">
        <v>427</v>
      </c>
      <c r="I237" s="16">
        <f>IFERROR(__xludf.DUMMYFUNCTION("ROUND(
  MAX(
    MIN(
      (
        (VALUE(INDEX(SPLIT(K237,""-""),1)) + VALUE(INDEX(SPLIT(K237,""-""),2))) / 2
      ) *
      IFS(
        L237&gt;0.4, 1.6,
        L237&gt;0.1, 1.3,
        L237&gt;=-0.05, 1,
        L237&gt;=-0.2, 0.85,
        TRUE, 0.7
     "&amp;" ),
      VALUE(INDEX(SPLIT(K237,""-""),2))
    ),
    VALUE(INDEX(SPLIT(K237,""-""),1))
  )
)"),6.0)</f>
        <v>6</v>
      </c>
      <c r="J237" s="17">
        <f>I237*(VLOOKUP(C237,'Rev_Mapping Table'!$A$1:$C$12,3,0))</f>
        <v>2958000</v>
      </c>
      <c r="K237" s="30">
        <v>45698.0</v>
      </c>
      <c r="L237" s="18">
        <v>0.0</v>
      </c>
      <c r="M237" s="19" t="str">
        <f>VLOOKUP(B237,Master_Mapper!$A$2:$C$628,3,0)</f>
        <v>Cerity Partners</v>
      </c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</row>
    <row r="238">
      <c r="A238" s="21" t="b">
        <v>0</v>
      </c>
      <c r="B238" s="31" t="s">
        <v>428</v>
      </c>
      <c r="C238" s="23" t="s">
        <v>46</v>
      </c>
      <c r="D238" s="21" t="str">
        <f>vlookup(B238,Vert_Mapper!$A$2:$C$567,3,0)</f>
        <v>Biotechnology &amp; Pharmaceuticals</v>
      </c>
      <c r="E238" s="21" t="s">
        <v>26</v>
      </c>
      <c r="F238" s="21" t="s">
        <v>18</v>
      </c>
      <c r="G238" s="21" t="str">
        <f t="shared" si="1"/>
        <v>DECLINING</v>
      </c>
      <c r="H238" s="21" t="s">
        <v>429</v>
      </c>
      <c r="I238" s="24">
        <f>IFERROR(__xludf.DUMMYFUNCTION("ROUND(
  MAX(
    MIN(
      (
        (VALUE(INDEX(SPLIT(K238,""-""),1)) + VALUE(INDEX(SPLIT(K238,""-""),2))) / 2
      ) *
      IFS(
        L238&gt;0.4, 1.6,
        L238&gt;0.1, 1.3,
        L238&gt;=-0.05, 1,
        L238&gt;=-0.2, 0.85,
        TRUE, 0.7
     "&amp;" ),
      VALUE(INDEX(SPLIT(K238,""-""),2))
    ),
    VALUE(INDEX(SPLIT(K238,""-""),1))
  )
)"),3001.0)</f>
        <v>3001</v>
      </c>
      <c r="J238" s="25">
        <f>I238*(VLOOKUP(C238,'Rev_Mapping Table'!$A$1:$C$12,3,0))</f>
        <v>1668556000</v>
      </c>
      <c r="K238" s="24" t="s">
        <v>96</v>
      </c>
      <c r="L238" s="26">
        <v>-0.01</v>
      </c>
      <c r="M238" s="27" t="str">
        <f>VLOOKUP(B238,Master_Mapper!$A$2:$C$628,3,0)</f>
        <v>NovaQuest Capital Mgmt</v>
      </c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</row>
    <row r="239">
      <c r="A239" s="13" t="b">
        <v>0</v>
      </c>
      <c r="B239" s="14" t="s">
        <v>430</v>
      </c>
      <c r="C239" s="15" t="s">
        <v>46</v>
      </c>
      <c r="D239" s="13" t="str">
        <f>vlookup(B239,Vert_Mapper!$A$2:$C$567,3,0)</f>
        <v>Healthcare Technology &amp; Analytics</v>
      </c>
      <c r="E239" s="13" t="s">
        <v>26</v>
      </c>
      <c r="F239" s="13" t="s">
        <v>18</v>
      </c>
      <c r="G239" s="13" t="str">
        <f t="shared" si="1"/>
        <v>HYPERGROWTH</v>
      </c>
      <c r="H239" s="13" t="s">
        <v>131</v>
      </c>
      <c r="I239" s="16" t="str">
        <f>IFERROR(__xludf.DUMMYFUNCTION("ROUND(
  MAX(
    MIN(
      (
        (VALUE(INDEX(SPLIT(K239,""-""),1)) + VALUE(INDEX(SPLIT(K239,""-""),2))) / 2
      ) *
      IFS(
        L239&gt;0.4, 1.6,
        L239&gt;0.1, 1.3,
        L239&gt;=-0.05, 1,
        L239&gt;=-0.2, 0.85,
        TRUE, 0.7
     "&amp;" ),
      VALUE(INDEX(SPLIT(K239,""-""),2))
    ),
    VALUE(INDEX(SPLIT(K239,""-""),1))
  )
)"),"#VALUE!")</f>
        <v>#VALUE!</v>
      </c>
      <c r="J239" s="17" t="str">
        <f>I239*(VLOOKUP(C239,'Rev_Mapping Table'!$A$1:$C$12,3,0))</f>
        <v>#VALUE!</v>
      </c>
      <c r="K239" s="33" t="s">
        <v>131</v>
      </c>
      <c r="L239" s="33" t="s">
        <v>131</v>
      </c>
      <c r="M239" s="19" t="str">
        <f>VLOOKUP(B239,Master_Mapper!$A$2:$C$628,3,0)</f>
        <v/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</row>
    <row r="240">
      <c r="A240" s="21" t="b">
        <v>0</v>
      </c>
      <c r="B240" s="31" t="s">
        <v>431</v>
      </c>
      <c r="C240" s="23" t="s">
        <v>56</v>
      </c>
      <c r="D240" s="21" t="str">
        <f>vlookup(B240,Vert_Mapper!$A$2:$C$567,3,0)</f>
        <v>Consumer Products</v>
      </c>
      <c r="E240" s="21" t="s">
        <v>26</v>
      </c>
      <c r="F240" s="21" t="s">
        <v>18</v>
      </c>
      <c r="G240" s="21" t="str">
        <f t="shared" si="1"/>
        <v>FLAT TO NEUTRAL</v>
      </c>
      <c r="H240" s="21" t="s">
        <v>413</v>
      </c>
      <c r="I240" s="24">
        <f>IFERROR(__xludf.DUMMYFUNCTION("ROUND(
  MAX(
    MIN(
      (
        (VALUE(INDEX(SPLIT(K240,""-""),1)) + VALUE(INDEX(SPLIT(K240,""-""),2))) / 2
      ) *
      IFS(
        L240&gt;0.4, 1.6,
        L240&gt;0.1, 1.3,
        L240&gt;=-0.05, 1,
        L240&gt;=-0.2, 0.85,
        TRUE, 0.7
     "&amp;" ),
      VALUE(INDEX(SPLIT(K240,""-""),2))
    ),
    VALUE(INDEX(SPLIT(K240,""-""),1))
  )
)"),126.0)</f>
        <v>126</v>
      </c>
      <c r="J240" s="25">
        <f>I240*(VLOOKUP(C240,'Rev_Mapping Table'!$A$1:$C$12,3,0))</f>
        <v>64512000</v>
      </c>
      <c r="K240" s="24" t="s">
        <v>32</v>
      </c>
      <c r="L240" s="26">
        <v>0.02</v>
      </c>
      <c r="M240" s="27" t="str">
        <f>VLOOKUP(B240,Master_Mapper!$A$2:$C$628,3,0)</f>
        <v>Vibora Capital</v>
      </c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</row>
    <row r="241">
      <c r="A241" s="13" t="b">
        <v>0</v>
      </c>
      <c r="B241" s="14" t="s">
        <v>432</v>
      </c>
      <c r="C241" s="15" t="s">
        <v>22</v>
      </c>
      <c r="D241" s="13" t="str">
        <f>vlookup(B241,Vert_Mapper!$A$2:$C$567,3,0)</f>
        <v>Artificial Intelligence &amp; Machine Learning</v>
      </c>
      <c r="E241" s="13" t="s">
        <v>65</v>
      </c>
      <c r="F241" s="13" t="s">
        <v>30</v>
      </c>
      <c r="G241" s="13" t="str">
        <f t="shared" si="1"/>
        <v>FLAT TO NEUTRAL</v>
      </c>
      <c r="H241" s="13" t="s">
        <v>433</v>
      </c>
      <c r="I241" s="16">
        <f>IFERROR(__xludf.DUMMYFUNCTION("ROUND(
  MAX(
    MIN(
      (
        (VALUE(INDEX(SPLIT(K241,""-""),1)) + VALUE(INDEX(SPLIT(K241,""-""),2))) / 2
      ) *
      IFS(
        L241&gt;0.4, 1.6,
        L241&gt;0.1, 1.3,
        L241&gt;=-0.05, 1,
        L241&gt;=-0.2, 0.85,
        TRUE, 0.7
     "&amp;" ),
      VALUE(INDEX(SPLIT(K241,""-""),2))
    ),
    VALUE(INDEX(SPLIT(K241,""-""),1))
  )
)"),6.0)</f>
        <v>6</v>
      </c>
      <c r="J241" s="17">
        <f>I241*(VLOOKUP(C241,'Rev_Mapping Table'!$A$1:$C$12,3,0))</f>
        <v>3384000</v>
      </c>
      <c r="K241" s="30">
        <v>45698.0</v>
      </c>
      <c r="L241" s="18">
        <v>0.0</v>
      </c>
      <c r="M241" s="19" t="str">
        <f>VLOOKUP(B241,Master_Mapper!$A$2:$C$628,3,0)</f>
        <v>Cerity Partners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</row>
    <row r="242">
      <c r="A242" s="21" t="b">
        <v>0</v>
      </c>
      <c r="B242" s="31" t="s">
        <v>434</v>
      </c>
      <c r="C242" s="23" t="s">
        <v>46</v>
      </c>
      <c r="D242" s="21" t="str">
        <f>vlookup(B242,Vert_Mapper!$A$2:$C$567,3,0)</f>
        <v>Biotechnology &amp; Pharmaceuticals</v>
      </c>
      <c r="E242" s="21" t="s">
        <v>85</v>
      </c>
      <c r="F242" s="21" t="s">
        <v>86</v>
      </c>
      <c r="G242" s="21" t="str">
        <f t="shared" si="1"/>
        <v>DECLINING</v>
      </c>
      <c r="H242" s="21" t="s">
        <v>435</v>
      </c>
      <c r="I242" s="24">
        <f>IFERROR(__xludf.DUMMYFUNCTION("ROUND(
  MAX(
    MIN(
      (
        (VALUE(INDEX(SPLIT(K242,""-""),1)) + VALUE(INDEX(SPLIT(K242,""-""),2))) / 2
      ) *
      IFS(
        L242&gt;0.4, 1.6,
        L242&gt;0.1, 1.3,
        L242&gt;=-0.05, 1,
        L242&gt;=-0.2, 0.85,
        TRUE, 0.7
     "&amp;" ),
      VALUE(INDEX(SPLIT(K242,""-""),2))
    ),
    VALUE(INDEX(SPLIT(K242,""-""),1))
  )
)"),126.0)</f>
        <v>126</v>
      </c>
      <c r="J242" s="25">
        <f>I242*(VLOOKUP(C242,'Rev_Mapping Table'!$A$1:$C$12,3,0))</f>
        <v>70056000</v>
      </c>
      <c r="K242" s="24" t="s">
        <v>32</v>
      </c>
      <c r="L242" s="26">
        <v>-0.01</v>
      </c>
      <c r="M242" s="27" t="str">
        <f>VLOOKUP(B242,Master_Mapper!$A$2:$C$628,3,0)</f>
        <v>NovaQuest Capital Mgmt</v>
      </c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</row>
    <row r="243">
      <c r="A243" s="13" t="b">
        <v>0</v>
      </c>
      <c r="B243" s="14" t="s">
        <v>436</v>
      </c>
      <c r="C243" s="15" t="s">
        <v>42</v>
      </c>
      <c r="D243" s="13" t="str">
        <f>vlookup(B243,Vert_Mapper!$A$2:$C$567,3,0)</f>
        <v>Property Management &amp; Services</v>
      </c>
      <c r="E243" s="13" t="s">
        <v>26</v>
      </c>
      <c r="F243" s="13" t="s">
        <v>18</v>
      </c>
      <c r="G243" s="13" t="str">
        <f t="shared" si="1"/>
        <v>GROWTH PHASE</v>
      </c>
      <c r="H243" s="13" t="s">
        <v>437</v>
      </c>
      <c r="I243" s="16">
        <f>IFERROR(__xludf.DUMMYFUNCTION("ROUND(
  MAX(
    MIN(
      (
        (VALUE(INDEX(SPLIT(K243,""-""),1)) + VALUE(INDEX(SPLIT(K243,""-""),2))) / 2
      ) *
      IFS(
        L243&gt;0.4, 1.6,
        L243&gt;0.1, 1.3,
        L243&gt;=-0.05, 1,
        L243&gt;=-0.2, 0.85,
        TRUE, 0.7
     "&amp;" ),
      VALUE(INDEX(SPLIT(K243,""-""),2))
    ),
    VALUE(INDEX(SPLIT(K243,""-""),1))
  )
)"),126.0)</f>
        <v>126</v>
      </c>
      <c r="J243" s="17">
        <f>I243*(VLOOKUP(C243,'Rev_Mapping Table'!$A$1:$C$12,3,0))</f>
        <v>57960000</v>
      </c>
      <c r="K243" s="16" t="s">
        <v>32</v>
      </c>
      <c r="L243" s="18">
        <v>0.08</v>
      </c>
      <c r="M243" s="19" t="str">
        <f>VLOOKUP(B243,Master_Mapper!$A$2:$C$628,3,0)</f>
        <v>Cerity Partners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</row>
    <row r="244">
      <c r="A244" s="21" t="b">
        <v>0</v>
      </c>
      <c r="B244" s="31" t="s">
        <v>438</v>
      </c>
      <c r="C244" s="23" t="s">
        <v>46</v>
      </c>
      <c r="D244" s="21" t="str">
        <f>vlookup(B244,Vert_Mapper!$A$2:$C$567,3,0)</f>
        <v>Medical Devices &amp; Technology</v>
      </c>
      <c r="E244" s="21" t="s">
        <v>26</v>
      </c>
      <c r="F244" s="21" t="s">
        <v>18</v>
      </c>
      <c r="G244" s="21" t="str">
        <f t="shared" si="1"/>
        <v>FLAT TO NEUTRAL</v>
      </c>
      <c r="H244" s="21" t="s">
        <v>439</v>
      </c>
      <c r="I244" s="24">
        <f>IFERROR(__xludf.DUMMYFUNCTION("ROUND(
  MAX(
    MIN(
      (
        (VALUE(INDEX(SPLIT(K244,""-""),1)) + VALUE(INDEX(SPLIT(K244,""-""),2))) / 2
      ) *
      IFS(
        L244&gt;0.4, 1.6,
        L244&gt;0.1, 1.3,
        L244&gt;=-0.05, 1,
        L244&gt;=-0.2, 0.85,
        TRUE, 0.7
     "&amp;" ),
      VALUE(INDEX(SPLIT(K244,""-""),2))
    ),
    VALUE(INDEX(SPLIT(K244,""-""),1))
  )
)"),126.0)</f>
        <v>126</v>
      </c>
      <c r="J244" s="25">
        <f>I244*(VLOOKUP(C244,'Rev_Mapping Table'!$A$1:$C$12,3,0))</f>
        <v>70056000</v>
      </c>
      <c r="K244" s="24" t="s">
        <v>32</v>
      </c>
      <c r="L244" s="26">
        <v>0.03</v>
      </c>
      <c r="M244" s="27" t="str">
        <f>VLOOKUP(B244,Master_Mapper!$A$2:$C$628,3,0)</f>
        <v>Halifax Group</v>
      </c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</row>
    <row r="245">
      <c r="A245" s="13" t="b">
        <v>0</v>
      </c>
      <c r="B245" s="14" t="s">
        <v>440</v>
      </c>
      <c r="C245" s="15" t="s">
        <v>46</v>
      </c>
      <c r="D245" s="13" t="str">
        <f>vlookup(B245,Vert_Mapper!$A$2:$C$567,3,0)</f>
        <v>Healthcare Services</v>
      </c>
      <c r="E245" s="13" t="s">
        <v>26</v>
      </c>
      <c r="F245" s="13" t="s">
        <v>18</v>
      </c>
      <c r="G245" s="13" t="str">
        <f t="shared" si="1"/>
        <v>GROWTH PHASE</v>
      </c>
      <c r="H245" s="13" t="s">
        <v>92</v>
      </c>
      <c r="I245" s="16">
        <f>IFERROR(__xludf.DUMMYFUNCTION("ROUND(
  MAX(
    MIN(
      (
        (VALUE(INDEX(SPLIT(K245,""-""),1)) + VALUE(INDEX(SPLIT(K245,""-""),2))) / 2
      ) *
      IFS(
        L245&gt;0.4, 1.6,
        L245&gt;0.1, 1.3,
        L245&gt;=-0.05, 1,
        L245&gt;=-0.2, 0.85,
        TRUE, 0.7
     "&amp;" ),
      VALUE(INDEX(SPLIT(K245,""-""),2))
    ),
    VALUE(INDEX(SPLIT(K245,""-""),1))
  )
)"),8.0)</f>
        <v>8</v>
      </c>
      <c r="J245" s="17">
        <f>I245*(VLOOKUP(C245,'Rev_Mapping Table'!$A$1:$C$12,3,0))</f>
        <v>4448000</v>
      </c>
      <c r="K245" s="30">
        <v>45698.0</v>
      </c>
      <c r="L245" s="18">
        <v>0.18</v>
      </c>
      <c r="M245" s="19" t="str">
        <f>VLOOKUP(B245,Master_Mapper!$A$2:$C$628,3,0)</f>
        <v>VentureSouth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</row>
    <row r="246">
      <c r="A246" s="21" t="b">
        <v>1</v>
      </c>
      <c r="B246" s="31" t="s">
        <v>441</v>
      </c>
      <c r="C246" s="23" t="s">
        <v>22</v>
      </c>
      <c r="D246" s="21" t="str">
        <f>vlookup(B246,Vert_Mapper!$A$2:$C$567,3,0)</f>
        <v>Software &amp; SaaS</v>
      </c>
      <c r="E246" s="21" t="s">
        <v>26</v>
      </c>
      <c r="F246" s="21" t="s">
        <v>18</v>
      </c>
      <c r="G246" s="21" t="str">
        <f t="shared" si="1"/>
        <v>DECLINING</v>
      </c>
      <c r="H246" s="21" t="s">
        <v>83</v>
      </c>
      <c r="I246" s="24">
        <f>IFERROR(__xludf.DUMMYFUNCTION("ROUND(
  MAX(
    MIN(
      (
        (VALUE(INDEX(SPLIT(K246,""-""),1)) + VALUE(INDEX(SPLIT(K246,""-""),2))) / 2
      ) *
      IFS(
        L246&gt;0.4, 1.6,
        L246&gt;0.1, 1.3,
        L246&gt;=-0.05, 1,
        L246&gt;=-0.2, 0.85,
        TRUE, 0.7
     "&amp;" ),
      VALUE(INDEX(SPLIT(K246,""-""),2))
    ),
    VALUE(INDEX(SPLIT(K246,""-""),1))
  )
)"),31.0)</f>
        <v>31</v>
      </c>
      <c r="J246" s="25">
        <f>I246*(VLOOKUP(C246,'Rev_Mapping Table'!$A$1:$C$12,3,0))</f>
        <v>17484000</v>
      </c>
      <c r="K246" s="24" t="s">
        <v>25</v>
      </c>
      <c r="L246" s="26">
        <v>-0.03</v>
      </c>
      <c r="M246" s="27" t="str">
        <f>VLOOKUP(B246,Master_Mapper!$A$2:$C$628,3,0)</f>
        <v>Vibora Capital</v>
      </c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</row>
    <row r="247">
      <c r="A247" s="13" t="b">
        <v>0</v>
      </c>
      <c r="B247" s="14" t="s">
        <v>442</v>
      </c>
      <c r="C247" s="15" t="s">
        <v>22</v>
      </c>
      <c r="D247" s="13" t="str">
        <f>vlookup(B247,Vert_Mapper!$A$2:$C$567,3,0)</f>
        <v>Education Technology</v>
      </c>
      <c r="E247" s="13" t="s">
        <v>26</v>
      </c>
      <c r="F247" s="13" t="s">
        <v>18</v>
      </c>
      <c r="G247" s="13" t="str">
        <f t="shared" si="1"/>
        <v>DECLINING</v>
      </c>
      <c r="H247" s="13" t="s">
        <v>443</v>
      </c>
      <c r="I247" s="16">
        <f>IFERROR(__xludf.DUMMYFUNCTION("ROUND(
  MAX(
    MIN(
      (
        (VALUE(INDEX(SPLIT(K247,""-""),1)) + VALUE(INDEX(SPLIT(K247,""-""),2))) / 2
      ) *
      IFS(
        L247&gt;0.4, 1.6,
        L247&gt;0.1, 1.3,
        L247&gt;=-0.05, 1,
        L247&gt;=-0.2, 0.85,
        TRUE, 0.7
     "&amp;" ),
      VALUE(INDEX(SPLIT(K247,""-""),2))
    ),
    VALUE(INDEX(SPLIT(K247,""-""),1))
  )
)"),107.0)</f>
        <v>107</v>
      </c>
      <c r="J247" s="17">
        <f>I247*(VLOOKUP(C247,'Rev_Mapping Table'!$A$1:$C$12,3,0))</f>
        <v>60348000</v>
      </c>
      <c r="K247" s="16" t="s">
        <v>32</v>
      </c>
      <c r="L247" s="18">
        <v>-0.07</v>
      </c>
      <c r="M247" s="19" t="str">
        <f>VLOOKUP(B247,Master_Mapper!$A$2:$C$628,3,0)</f>
        <v>Pamlico Capital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</row>
    <row r="248">
      <c r="A248" s="21" t="b">
        <v>0</v>
      </c>
      <c r="B248" s="31" t="s">
        <v>444</v>
      </c>
      <c r="C248" s="23" t="s">
        <v>42</v>
      </c>
      <c r="D248" s="21" t="str">
        <f>vlookup(B248,Vert_Mapper!$A$2:$C$567,3,0)</f>
        <v>Property Management &amp; Services</v>
      </c>
      <c r="E248" s="21" t="s">
        <v>26</v>
      </c>
      <c r="F248" s="21" t="s">
        <v>18</v>
      </c>
      <c r="G248" s="21" t="str">
        <f t="shared" si="1"/>
        <v>DECLINING</v>
      </c>
      <c r="H248" s="21" t="s">
        <v>100</v>
      </c>
      <c r="I248" s="24">
        <f>IFERROR(__xludf.DUMMYFUNCTION("ROUND(
  MAX(
    MIN(
      (
        (VALUE(INDEX(SPLIT(K248,""-""),1)) + VALUE(INDEX(SPLIT(K248,""-""),2))) / 2
      ) *
      IFS(
        L248&gt;0.4, 1.6,
        L248&gt;0.1, 1.3,
        L248&gt;=-0.05, 1,
        L248&gt;=-0.2, 0.85,
        TRUE, 0.7
     "&amp;" ),
      VALUE(INDEX(SPLIT(K248,""-""),2))
    ),
    VALUE(INDEX(SPLIT(K248,""-""),1))
  )
)"),26.0)</f>
        <v>26</v>
      </c>
      <c r="J248" s="25">
        <f>I248*(VLOOKUP(C248,'Rev_Mapping Table'!$A$1:$C$12,3,0))</f>
        <v>11960000</v>
      </c>
      <c r="K248" s="24" t="s">
        <v>25</v>
      </c>
      <c r="L248" s="26">
        <v>-0.08</v>
      </c>
      <c r="M248" s="27" t="str">
        <f>VLOOKUP(B248,Master_Mapper!$A$2:$C$628,3,0)</f>
        <v>VentureSouth</v>
      </c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</row>
    <row r="249">
      <c r="A249" s="13" t="b">
        <v>0</v>
      </c>
      <c r="B249" s="14" t="s">
        <v>445</v>
      </c>
      <c r="C249" s="15" t="s">
        <v>22</v>
      </c>
      <c r="D249" s="13" t="str">
        <f>vlookup(B249,Vert_Mapper!$A$2:$C$567,3,0)</f>
        <v>IT Services &amp; Consulting</v>
      </c>
      <c r="E249" s="13" t="s">
        <v>65</v>
      </c>
      <c r="F249" s="13" t="s">
        <v>18</v>
      </c>
      <c r="G249" s="13" t="str">
        <f t="shared" si="1"/>
        <v>DECLINING</v>
      </c>
      <c r="H249" s="13" t="s">
        <v>446</v>
      </c>
      <c r="I249" s="16">
        <f>IFERROR(__xludf.DUMMYFUNCTION("ROUND(
  MAX(
    MIN(
      (
        (VALUE(INDEX(SPLIT(K249,""-""),1)) + VALUE(INDEX(SPLIT(K249,""-""),2))) / 2
      ) *
      IFS(
        L249&gt;0.4, 1.6,
        L249&gt;0.1, 1.3,
        L249&gt;=-0.05, 1,
        L249&gt;=-0.2, 0.85,
        TRUE, 0.7
     "&amp;" ),
      VALUE(INDEX(SPLIT(K249,""-""),2))
    ),
    VALUE(INDEX(SPLIT(K249,""-""),1))
  )
)"),31.0)</f>
        <v>31</v>
      </c>
      <c r="J249" s="17">
        <f>I249*(VLOOKUP(C249,'Rev_Mapping Table'!$A$1:$C$12,3,0))</f>
        <v>17484000</v>
      </c>
      <c r="K249" s="16" t="s">
        <v>25</v>
      </c>
      <c r="L249" s="18">
        <v>-0.03</v>
      </c>
      <c r="M249" s="19" t="str">
        <f>VLOOKUP(B249,Master_Mapper!$A$2:$C$628,3,0)</f>
        <v>Route 2 Capital Partners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</row>
    <row r="250">
      <c r="A250" s="21" t="b">
        <v>0</v>
      </c>
      <c r="B250" s="31" t="s">
        <v>447</v>
      </c>
      <c r="C250" s="23" t="s">
        <v>16</v>
      </c>
      <c r="D250" s="21" t="str">
        <f>vlookup(B250,Vert_Mapper!$A$2:$C$567,3,0)</f>
        <v>Transportation &amp; Logistics</v>
      </c>
      <c r="E250" s="21" t="s">
        <v>26</v>
      </c>
      <c r="F250" s="21" t="s">
        <v>18</v>
      </c>
      <c r="G250" s="21" t="str">
        <f t="shared" si="1"/>
        <v>GROWTH PHASE</v>
      </c>
      <c r="H250" s="21" t="s">
        <v>169</v>
      </c>
      <c r="I250" s="24">
        <f>IFERROR(__xludf.DUMMYFUNCTION("ROUND(
  MAX(
    MIN(
      (
        (VALUE(INDEX(SPLIT(K250,""-""),1)) + VALUE(INDEX(SPLIT(K250,""-""),2))) / 2
      ) *
      IFS(
        L250&gt;0.4, 1.6,
        L250&gt;0.1, 1.3,
        L250&gt;=-0.05, 1,
        L250&gt;=-0.2, 0.85,
        TRUE, 0.7
     "&amp;" ),
      VALUE(INDEX(SPLIT(K250,""-""),2))
    ),
    VALUE(INDEX(SPLIT(K250,""-""),1))
  )
)"),40.0)</f>
        <v>40</v>
      </c>
      <c r="J250" s="25">
        <f>I250*(VLOOKUP(C250,'Rev_Mapping Table'!$A$1:$C$12,3,0))</f>
        <v>19720000</v>
      </c>
      <c r="K250" s="24" t="s">
        <v>25</v>
      </c>
      <c r="L250" s="26">
        <v>0.11</v>
      </c>
      <c r="M250" s="27" t="str">
        <f>VLOOKUP(B250,Master_Mapper!$A$2:$C$628,3,0)</f>
        <v>VentureSouth</v>
      </c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</row>
    <row r="251">
      <c r="A251" s="13" t="b">
        <v>0</v>
      </c>
      <c r="B251" s="14" t="s">
        <v>448</v>
      </c>
      <c r="C251" s="15" t="s">
        <v>46</v>
      </c>
      <c r="D251" s="13" t="str">
        <f>vlookup(B251,Vert_Mapper!$A$2:$C$567,3,0)</f>
        <v>Biotechnology &amp; Pharmaceuticals</v>
      </c>
      <c r="E251" s="13" t="s">
        <v>26</v>
      </c>
      <c r="F251" s="13" t="s">
        <v>18</v>
      </c>
      <c r="G251" s="13" t="str">
        <f t="shared" si="1"/>
        <v>FLAT TO NEUTRAL</v>
      </c>
      <c r="H251" s="13" t="s">
        <v>449</v>
      </c>
      <c r="I251" s="16" t="str">
        <f>IFERROR(__xludf.DUMMYFUNCTION("ROUND(
  MAX(
    MIN(
      (
        (VALUE(INDEX(SPLIT(K251,""-""),1)) + VALUE(INDEX(SPLIT(K251,""-""),2))) / 2
      ) *
      IFS(
        L251&gt;0.4, 1.6,
        L251&gt;0.1, 1.3,
        L251&gt;=-0.05, 1,
        L251&gt;=-0.2, 0.85,
        TRUE, 0.7
     "&amp;" ),
      VALUE(INDEX(SPLIT(K251,""-""),2))
    ),
    VALUE(INDEX(SPLIT(K251,""-""),1))
  )
)"),"#VALUE!")</f>
        <v>#VALUE!</v>
      </c>
      <c r="J251" s="17" t="str">
        <f>I251*(VLOOKUP(C251,'Rev_Mapping Table'!$A$1:$C$12,3,0))</f>
        <v>#VALUE!</v>
      </c>
      <c r="K251" s="16" t="s">
        <v>450</v>
      </c>
      <c r="L251" s="18">
        <v>0.01</v>
      </c>
      <c r="M251" s="19" t="str">
        <f>VLOOKUP(B251,Master_Mapper!$A$2:$C$628,3,0)</f>
        <v>NovaQuest Capital Mgmt</v>
      </c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</row>
    <row r="252">
      <c r="A252" s="21" t="b">
        <v>0</v>
      </c>
      <c r="B252" s="31" t="s">
        <v>451</v>
      </c>
      <c r="C252" s="23" t="s">
        <v>42</v>
      </c>
      <c r="D252" s="21" t="str">
        <f>vlookup(B252,Vert_Mapper!$A$2:$C$567,3,0)</f>
        <v>Real Estate Technology</v>
      </c>
      <c r="E252" s="21" t="s">
        <v>26</v>
      </c>
      <c r="F252" s="21" t="s">
        <v>18</v>
      </c>
      <c r="G252" s="21" t="str">
        <f t="shared" si="1"/>
        <v>FLAT TO NEUTRAL</v>
      </c>
      <c r="H252" s="21" t="s">
        <v>317</v>
      </c>
      <c r="I252" s="24">
        <f>IFERROR(__xludf.DUMMYFUNCTION("ROUND(
  MAX(
    MIN(
      (
        (VALUE(INDEX(SPLIT(K252,""-""),1)) + VALUE(INDEX(SPLIT(K252,""-""),2))) / 2
      ) *
      IFS(
        L252&gt;0.4, 1.6,
        L252&gt;0.1, 1.3,
        L252&gt;=-0.05, 1,
        L252&gt;=-0.2, 0.85,
        TRUE, 0.7
     "&amp;" ),
      VALUE(INDEX(SPLIT(K252,""-""),2))
    ),
    VALUE(INDEX(SPLIT(K252,""-""),1))
  )
)"),126.0)</f>
        <v>126</v>
      </c>
      <c r="J252" s="25">
        <f>I252*(VLOOKUP(C252,'Rev_Mapping Table'!$A$1:$C$12,3,0))</f>
        <v>57960000</v>
      </c>
      <c r="K252" s="24" t="s">
        <v>32</v>
      </c>
      <c r="L252" s="26">
        <v>0.01</v>
      </c>
      <c r="M252" s="27" t="str">
        <f>VLOOKUP(B252,Master_Mapper!$A$2:$C$628,3,0)</f>
        <v>Cerity Partners</v>
      </c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</row>
    <row r="253">
      <c r="A253" s="13" t="b">
        <v>0</v>
      </c>
      <c r="B253" s="14" t="s">
        <v>452</v>
      </c>
      <c r="C253" s="15" t="s">
        <v>22</v>
      </c>
      <c r="D253" s="13" t="str">
        <f>vlookup(B253,Vert_Mapper!$A$2:$C$567,3,0)</f>
        <v>Software &amp; SaaS</v>
      </c>
      <c r="E253" s="13" t="s">
        <v>26</v>
      </c>
      <c r="F253" s="13" t="s">
        <v>18</v>
      </c>
      <c r="G253" s="13" t="str">
        <f t="shared" si="1"/>
        <v>HYPERGROWTH</v>
      </c>
      <c r="H253" s="13" t="s">
        <v>131</v>
      </c>
      <c r="I253" s="16" t="str">
        <f>IFERROR(__xludf.DUMMYFUNCTION("ROUND(
  MAX(
    MIN(
      (
        (VALUE(INDEX(SPLIT(K253,""-""),1)) + VALUE(INDEX(SPLIT(K253,""-""),2))) / 2
      ) *
      IFS(
        L253&gt;0.4, 1.6,
        L253&gt;0.1, 1.3,
        L253&gt;=-0.05, 1,
        L253&gt;=-0.2, 0.85,
        TRUE, 0.7
     "&amp;" ),
      VALUE(INDEX(SPLIT(K253,""-""),2))
    ),
    VALUE(INDEX(SPLIT(K253,""-""),1))
  )
)"),"#VALUE!")</f>
        <v>#VALUE!</v>
      </c>
      <c r="J253" s="17" t="str">
        <f>I253*(VLOOKUP(C253,'Rev_Mapping Table'!$A$1:$C$12,3,0))</f>
        <v>#VALUE!</v>
      </c>
      <c r="K253" s="13" t="s">
        <v>131</v>
      </c>
      <c r="L253" s="13" t="s">
        <v>131</v>
      </c>
      <c r="M253" s="19" t="str">
        <f>VLOOKUP(B253,Master_Mapper!$A$2:$C$628,3,0)</f>
        <v>Cerity Partners</v>
      </c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</row>
    <row r="254">
      <c r="A254" s="21" t="b">
        <v>0</v>
      </c>
      <c r="B254" s="31" t="s">
        <v>453</v>
      </c>
      <c r="C254" s="23" t="s">
        <v>46</v>
      </c>
      <c r="D254" s="21" t="str">
        <f>vlookup(B254,Vert_Mapper!$A$2:$C$567,3,0)</f>
        <v>Biotechnology &amp; Pharmaceuticals</v>
      </c>
      <c r="E254" s="21" t="s">
        <v>65</v>
      </c>
      <c r="F254" s="21" t="s">
        <v>30</v>
      </c>
      <c r="G254" s="21" t="str">
        <f t="shared" si="1"/>
        <v>GROWTH PHASE</v>
      </c>
      <c r="H254" s="21" t="s">
        <v>73</v>
      </c>
      <c r="I254" s="24">
        <f>IFERROR(__xludf.DUMMYFUNCTION("ROUND(
  MAX(
    MIN(
      (
        (VALUE(INDEX(SPLIT(K254,""-""),1)) + VALUE(INDEX(SPLIT(K254,""-""),2))) / 2
      ) *
      IFS(
        L254&gt;0.4, 1.6,
        L254&gt;0.1, 1.3,
        L254&gt;=-0.05, 1,
        L254&gt;=-0.2, 0.85,
        TRUE, 0.7
     "&amp;" ),
      VALUE(INDEX(SPLIT(K254,""-""),2))
    ),
    VALUE(INDEX(SPLIT(K254,""-""),1))
  )
)"),163.0)</f>
        <v>163</v>
      </c>
      <c r="J254" s="25">
        <f>I254*(VLOOKUP(C254,'Rev_Mapping Table'!$A$1:$C$12,3,0))</f>
        <v>90628000</v>
      </c>
      <c r="K254" s="42" t="s">
        <v>32</v>
      </c>
      <c r="L254" s="43">
        <v>0.13</v>
      </c>
      <c r="M254" s="27" t="str">
        <f>VLOOKUP(B254,Master_Mapper!$A$2:$C$628,3,0)</f>
        <v>Summit Park</v>
      </c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</row>
    <row r="255">
      <c r="A255" s="13" t="b">
        <v>1</v>
      </c>
      <c r="B255" s="14" t="s">
        <v>454</v>
      </c>
      <c r="C255" s="15" t="s">
        <v>38</v>
      </c>
      <c r="D255" s="13" t="str">
        <f>vlookup(B255,Vert_Mapper!$A$2:$C$567,3,0)</f>
        <v>Venture Capital &amp; Private Equity</v>
      </c>
      <c r="E255" s="13" t="s">
        <v>26</v>
      </c>
      <c r="F255" s="13" t="s">
        <v>18</v>
      </c>
      <c r="G255" s="13" t="str">
        <f t="shared" si="1"/>
        <v>ACCELERATED GROWTH</v>
      </c>
      <c r="H255" s="13" t="s">
        <v>66</v>
      </c>
      <c r="I255" s="16">
        <f>IFERROR(__xludf.DUMMYFUNCTION("ROUND(
  MAX(
    MIN(
      (
        (VALUE(INDEX(SPLIT(K255,""-""),1)) + VALUE(INDEX(SPLIT(K255,""-""),2))) / 2
      ) *
      IFS(
        L255&gt;0.4, 1.6,
        L255&gt;0.1, 1.3,
        L255&gt;=-0.05, 1,
        L255&gt;=-0.2, 0.85,
        TRUE, 0.7
     "&amp;" ),
      VALUE(INDEX(SPLIT(K255,""-""),2))
    ),
    VALUE(INDEX(SPLIT(K255,""-""),1))
  )
)"),8.0)</f>
        <v>8</v>
      </c>
      <c r="J255" s="17">
        <f>I255*(VLOOKUP(C255,'Rev_Mapping Table'!$A$1:$C$12,3,0))</f>
        <v>7240000</v>
      </c>
      <c r="K255" s="44">
        <v>45698.0</v>
      </c>
      <c r="L255" s="45">
        <v>0.33</v>
      </c>
      <c r="M255" s="19" t="str">
        <f>VLOOKUP(B255,Master_Mapper!$A$2:$C$628,3,0)</f>
        <v>Harbor Island Equity Partners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</row>
    <row r="256">
      <c r="A256" s="21" t="b">
        <v>0</v>
      </c>
      <c r="B256" s="31" t="s">
        <v>455</v>
      </c>
      <c r="C256" s="23" t="s">
        <v>38</v>
      </c>
      <c r="D256" s="21" t="str">
        <f>vlookup(B256,Vert_Mapper!$A$2:$C$567,3,0)</f>
        <v>Financial Technology &amp; Investment Services</v>
      </c>
      <c r="E256" s="21" t="s">
        <v>26</v>
      </c>
      <c r="F256" s="21" t="s">
        <v>18</v>
      </c>
      <c r="G256" s="21" t="str">
        <f t="shared" si="1"/>
        <v>GROWTH PHASE</v>
      </c>
      <c r="H256" s="21" t="s">
        <v>456</v>
      </c>
      <c r="I256" s="24">
        <f>IFERROR(__xludf.DUMMYFUNCTION("ROUND(
  MAX(
    MIN(
      (
        (VALUE(INDEX(SPLIT(K256,""-""),1)) + VALUE(INDEX(SPLIT(K256,""-""),2))) / 2
      ) *
      IFS(
        L256&gt;0.4, 1.6,
        L256&gt;0.1, 1.3,
        L256&gt;=-0.05, 1,
        L256&gt;=-0.2, 0.85,
        TRUE, 0.7
     "&amp;" ),
      VALUE(INDEX(SPLIT(K256,""-""),2))
    ),
    VALUE(INDEX(SPLIT(K256,""-""),1))
  )
)"),126.0)</f>
        <v>126</v>
      </c>
      <c r="J256" s="25">
        <f>I256*(VLOOKUP(C256,'Rev_Mapping Table'!$A$1:$C$12,3,0))</f>
        <v>114030000</v>
      </c>
      <c r="K256" s="42" t="s">
        <v>32</v>
      </c>
      <c r="L256" s="43">
        <v>0.04</v>
      </c>
      <c r="M256" s="27" t="str">
        <f>VLOOKUP(B256,Master_Mapper!$A$2:$C$628,3,0)</f>
        <v>Investors Management Corp (IMC)</v>
      </c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</row>
    <row r="257">
      <c r="A257" s="13" t="b">
        <v>0</v>
      </c>
      <c r="B257" s="14" t="s">
        <v>457</v>
      </c>
      <c r="C257" s="15" t="s">
        <v>38</v>
      </c>
      <c r="D257" s="13" t="str">
        <f>vlookup(B257,Vert_Mapper!$A$2:$C$567,3,0)</f>
        <v>Financial Technology &amp; Investment Services</v>
      </c>
      <c r="E257" s="13" t="s">
        <v>26</v>
      </c>
      <c r="F257" s="13" t="s">
        <v>18</v>
      </c>
      <c r="G257" s="13" t="str">
        <f t="shared" si="1"/>
        <v>HYPERGROWTH</v>
      </c>
      <c r="H257" s="13" t="s">
        <v>373</v>
      </c>
      <c r="I257" s="16" t="str">
        <f>IFERROR(__xludf.DUMMYFUNCTION("ROUND(
  MAX(
    MIN(
      (
        (VALUE(INDEX(SPLIT(K257,""-""),1)) + VALUE(INDEX(SPLIT(K257,""-""),2))) / 2
      ) *
      IFS(
        L257&gt;0.4, 1.6,
        L257&gt;0.1, 1.3,
        L257&gt;=-0.05, 1,
        L257&gt;=-0.2, 0.85,
        TRUE, 0.7
     "&amp;" ),
      VALUE(INDEX(SPLIT(K257,""-""),2))
    ),
    VALUE(INDEX(SPLIT(K257,""-""),1))
  )
)"),"#VALUE!")</f>
        <v>#VALUE!</v>
      </c>
      <c r="J257" s="17" t="str">
        <f>I257*(VLOOKUP(C257,'Rev_Mapping Table'!$A$1:$C$12,3,0))</f>
        <v>#VALUE!</v>
      </c>
      <c r="K257" s="13" t="s">
        <v>373</v>
      </c>
      <c r="L257" s="13" t="s">
        <v>373</v>
      </c>
      <c r="M257" s="19" t="str">
        <f>VLOOKUP(B257,Master_Mapper!$A$2:$C$628,3,0)</f>
        <v>Cerity Partners</v>
      </c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</row>
    <row r="258">
      <c r="A258" s="21" t="b">
        <v>0</v>
      </c>
      <c r="B258" s="31" t="s">
        <v>458</v>
      </c>
      <c r="C258" s="23" t="s">
        <v>56</v>
      </c>
      <c r="D258" s="21" t="str">
        <f>vlookup(B258,Vert_Mapper!$A$2:$C$567,3,0)</f>
        <v>Retail &amp; E-commerce</v>
      </c>
      <c r="E258" s="21" t="s">
        <v>26</v>
      </c>
      <c r="F258" s="21" t="s">
        <v>18</v>
      </c>
      <c r="G258" s="21" t="str">
        <f t="shared" si="1"/>
        <v>FLAT TO NEUTRAL</v>
      </c>
      <c r="H258" s="21" t="s">
        <v>459</v>
      </c>
      <c r="I258" s="24">
        <f>IFERROR(__xludf.DUMMYFUNCTION("ROUND(
  MAX(
    MIN(
      (
        (VALUE(INDEX(SPLIT(K258,""-""),1)) + VALUE(INDEX(SPLIT(K258,""-""),2))) / 2
      ) *
      IFS(
        L258&gt;0.4, 1.6,
        L258&gt;0.1, 1.3,
        L258&gt;=-0.05, 1,
        L258&gt;=-0.2, 0.85,
        TRUE, 0.7
     "&amp;" ),
      VALUE(INDEX(SPLIT(K258,""-""),2))
    ),
    VALUE(INDEX(SPLIT(K258,""-""),1))
  )
)"),6.0)</f>
        <v>6</v>
      </c>
      <c r="J258" s="25">
        <f>I258*(VLOOKUP(C258,'Rev_Mapping Table'!$A$1:$C$12,3,0))</f>
        <v>3072000</v>
      </c>
      <c r="K258" s="32">
        <v>45698.0</v>
      </c>
      <c r="L258" s="26">
        <v>0.0</v>
      </c>
      <c r="M258" s="27" t="str">
        <f>VLOOKUP(B258,Master_Mapper!$A$2:$C$628,3,0)</f>
        <v/>
      </c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</row>
    <row r="259">
      <c r="A259" s="13" t="b">
        <v>0</v>
      </c>
      <c r="B259" s="14" t="s">
        <v>460</v>
      </c>
      <c r="C259" s="15" t="s">
        <v>22</v>
      </c>
      <c r="D259" s="13" t="str">
        <f>vlookup(B259,Vert_Mapper!$A$2:$C$567,3,0)</f>
        <v>Software &amp; SaaS</v>
      </c>
      <c r="E259" s="13" t="s">
        <v>65</v>
      </c>
      <c r="F259" s="13" t="s">
        <v>18</v>
      </c>
      <c r="G259" s="13" t="str">
        <f t="shared" si="1"/>
        <v>HYPERGROWTH</v>
      </c>
      <c r="H259" s="13" t="s">
        <v>131</v>
      </c>
      <c r="I259" s="16" t="str">
        <f>IFERROR(__xludf.DUMMYFUNCTION("ROUND(
  MAX(
    MIN(
      (
        (VALUE(INDEX(SPLIT(K259,""-""),1)) + VALUE(INDEX(SPLIT(K259,""-""),2))) / 2
      ) *
      IFS(
        L259&gt;0.4, 1.6,
        L259&gt;0.1, 1.3,
        L259&gt;=-0.05, 1,
        L259&gt;=-0.2, 0.85,
        TRUE, 0.7
     "&amp;" ),
      VALUE(INDEX(SPLIT(K259,""-""),2))
    ),
    VALUE(INDEX(SPLIT(K259,""-""),1))
  )
)"),"#VALUE!")</f>
        <v>#VALUE!</v>
      </c>
      <c r="J259" s="17" t="str">
        <f>I259*(VLOOKUP(C259,'Rev_Mapping Table'!$A$1:$C$12,3,0))</f>
        <v>#VALUE!</v>
      </c>
      <c r="K259" s="33" t="s">
        <v>131</v>
      </c>
      <c r="L259" s="33" t="s">
        <v>131</v>
      </c>
      <c r="M259" s="19" t="str">
        <f>VLOOKUP(B259,Master_Mapper!$A$2:$C$628,3,0)</f>
        <v>Pamlico Capital</v>
      </c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</row>
    <row r="260">
      <c r="A260" s="21" t="b">
        <v>0</v>
      </c>
      <c r="B260" s="31" t="s">
        <v>461</v>
      </c>
      <c r="C260" s="23" t="s">
        <v>16</v>
      </c>
      <c r="D260" s="21" t="str">
        <f>vlookup(B260,Vert_Mapper!$A$2:$C$567,3,0)</f>
        <v>Aerospace and Defense</v>
      </c>
      <c r="E260" s="21" t="s">
        <v>65</v>
      </c>
      <c r="F260" s="21" t="s">
        <v>18</v>
      </c>
      <c r="G260" s="21" t="str">
        <f t="shared" si="1"/>
        <v>GROWTH PHASE</v>
      </c>
      <c r="H260" s="21" t="s">
        <v>301</v>
      </c>
      <c r="I260" s="24">
        <f>IFERROR(__xludf.DUMMYFUNCTION("ROUND(
  MAX(
    MIN(
      (
        (VALUE(INDEX(SPLIT(K260,""-""),1)) + VALUE(INDEX(SPLIT(K260,""-""),2))) / 2
      ) *
      IFS(
        L260&gt;0.4, 1.6,
        L260&gt;0.1, 1.3,
        L260&gt;=-0.05, 1,
        L260&gt;=-0.2, 0.85,
        TRUE, 0.7
     "&amp;" ),
      VALUE(INDEX(SPLIT(K260,""-""),2))
    ),
    VALUE(INDEX(SPLIT(K260,""-""),1))
  )
)"),163.0)</f>
        <v>163</v>
      </c>
      <c r="J260" s="25">
        <f>I260*(VLOOKUP(C260,'Rev_Mapping Table'!$A$1:$C$12,3,0))</f>
        <v>80359000</v>
      </c>
      <c r="K260" s="24" t="s">
        <v>32</v>
      </c>
      <c r="L260" s="26">
        <v>0.17</v>
      </c>
      <c r="M260" s="27" t="str">
        <f>VLOOKUP(B260,Master_Mapper!$A$2:$C$628,3,0)</f>
        <v>Azalea Capital</v>
      </c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</row>
    <row r="261">
      <c r="A261" s="13" t="b">
        <v>0</v>
      </c>
      <c r="B261" s="14" t="s">
        <v>462</v>
      </c>
      <c r="C261" s="15" t="s">
        <v>46</v>
      </c>
      <c r="D261" s="13" t="str">
        <f>vlookup(B261,Vert_Mapper!$A$2:$C$567,3,0)</f>
        <v>Biotechnology &amp; Pharmaceuticals</v>
      </c>
      <c r="E261" s="13" t="s">
        <v>85</v>
      </c>
      <c r="F261" s="13" t="s">
        <v>86</v>
      </c>
      <c r="G261" s="13" t="str">
        <f t="shared" si="1"/>
        <v>ACCELERATED GROWTH</v>
      </c>
      <c r="H261" s="13" t="s">
        <v>66</v>
      </c>
      <c r="I261" s="16">
        <f>IFERROR(__xludf.DUMMYFUNCTION("ROUND(
  MAX(
    MIN(
      (
        (VALUE(INDEX(SPLIT(K261,""-""),1)) + VALUE(INDEX(SPLIT(K261,""-""),2))) / 2
      ) *
      IFS(
        L261&gt;0.4, 1.6,
        L261&gt;0.1, 1.3,
        L261&gt;=-0.05, 1,
        L261&gt;=-0.2, 0.85,
        TRUE, 0.7
     "&amp;" ),
      VALUE(INDEX(SPLIT(K261,""-""),2))
    ),
    VALUE(INDEX(SPLIT(K261,""-""),1))
  )
)"),8.0)</f>
        <v>8</v>
      </c>
      <c r="J261" s="17">
        <f>I261*(VLOOKUP(C261,'Rev_Mapping Table'!$A$1:$C$12,3,0))</f>
        <v>4448000</v>
      </c>
      <c r="K261" s="30">
        <v>45698.0</v>
      </c>
      <c r="L261" s="18">
        <v>0.25</v>
      </c>
      <c r="M261" s="19" t="str">
        <f>VLOOKUP(B261,Master_Mapper!$A$2:$C$628,3,0)</f>
        <v>Eshelman Ventures, LLC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</row>
    <row r="262">
      <c r="A262" s="21" t="b">
        <v>0</v>
      </c>
      <c r="B262" s="31" t="s">
        <v>463</v>
      </c>
      <c r="C262" s="23" t="s">
        <v>64</v>
      </c>
      <c r="D262" s="21" t="str">
        <f>vlookup(B262,Vert_Mapper!$A$2:$C$567,3,0)</f>
        <v>Building Materials &amp; Construction</v>
      </c>
      <c r="E262" s="21" t="s">
        <v>26</v>
      </c>
      <c r="F262" s="21" t="s">
        <v>18</v>
      </c>
      <c r="G262" s="21" t="str">
        <f t="shared" si="1"/>
        <v>FLAT TO NEUTRAL</v>
      </c>
      <c r="H262" s="21" t="s">
        <v>31</v>
      </c>
      <c r="I262" s="24">
        <f>IFERROR(__xludf.DUMMYFUNCTION("ROUND(
  MAX(
    MIN(
      (
        (VALUE(INDEX(SPLIT(K262,""-""),1)) + VALUE(INDEX(SPLIT(K262,""-""),2))) / 2
      ) *
      IFS(
        L262&gt;0.4, 1.6,
        L262&gt;0.1, 1.3,
        L262&gt;=-0.05, 1,
        L262&gt;=-0.2, 0.85,
        TRUE, 0.7
     "&amp;" ),
      VALUE(INDEX(SPLIT(K262,""-""),2))
    ),
    VALUE(INDEX(SPLIT(K262,""-""),1))
  )
)"),31.0)</f>
        <v>31</v>
      </c>
      <c r="J262" s="25">
        <f>I262*(VLOOKUP(C262,'Rev_Mapping Table'!$A$1:$C$12,3,0))</f>
        <v>15283000</v>
      </c>
      <c r="K262" s="24" t="s">
        <v>25</v>
      </c>
      <c r="L262" s="26">
        <v>0.0</v>
      </c>
      <c r="M262" s="27" t="str">
        <f>VLOOKUP(B262,Master_Mapper!$A$2:$C$628,3,0)</f>
        <v>Succession Capital Partners</v>
      </c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</row>
    <row r="263">
      <c r="A263" s="13" t="b">
        <v>0</v>
      </c>
      <c r="B263" s="14" t="s">
        <v>464</v>
      </c>
      <c r="C263" s="15" t="s">
        <v>16</v>
      </c>
      <c r="D263" s="13" t="str">
        <f>vlookup(B263,Vert_Mapper!$A$2:$C$567,3,0)</f>
        <v>Home Services / Construction / Industrial Services</v>
      </c>
      <c r="E263" s="13" t="s">
        <v>29</v>
      </c>
      <c r="F263" s="13" t="s">
        <v>34</v>
      </c>
      <c r="G263" s="13" t="str">
        <f t="shared" si="1"/>
        <v>FLAT TO NEUTRAL</v>
      </c>
      <c r="H263" s="13" t="s">
        <v>465</v>
      </c>
      <c r="I263" s="16">
        <f>IFERROR(__xludf.DUMMYFUNCTION("ROUND(
  MAX(
    MIN(
      (
        (VALUE(INDEX(SPLIT(K263,""-""),1)) + VALUE(INDEX(SPLIT(K263,""-""),2))) / 2
      ) *
      IFS(
        L263&gt;0.4, 1.6,
        L263&gt;0.1, 1.3,
        L263&gt;=-0.05, 1,
        L263&gt;=-0.2, 0.85,
        TRUE, 0.7
     "&amp;" ),
      VALUE(INDEX(SPLIT(K263,""-""),2))
    ),
    VALUE(INDEX(SPLIT(K263,""-""),1))
  )
)"),7500.0)</f>
        <v>7500</v>
      </c>
      <c r="J263" s="17">
        <f>I263*(VLOOKUP(C263,'Rev_Mapping Table'!$A$1:$C$12,3,0))</f>
        <v>3697500000</v>
      </c>
      <c r="K263" s="16" t="s">
        <v>466</v>
      </c>
      <c r="L263" s="18">
        <v>0.03</v>
      </c>
      <c r="M263" s="19" t="str">
        <f>VLOOKUP(B263,Master_Mapper!$A$2:$C$628,3,0)</f>
        <v>Succession Capital Partners</v>
      </c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</row>
    <row r="264">
      <c r="A264" s="21" t="b">
        <v>0</v>
      </c>
      <c r="B264" s="31" t="s">
        <v>467</v>
      </c>
      <c r="C264" s="23" t="s">
        <v>46</v>
      </c>
      <c r="D264" s="21" t="str">
        <f>vlookup(B264,Vert_Mapper!$A$2:$C$567,3,0)</f>
        <v>Healthcare Services</v>
      </c>
      <c r="E264" s="21" t="s">
        <v>26</v>
      </c>
      <c r="F264" s="21" t="s">
        <v>18</v>
      </c>
      <c r="G264" s="21" t="str">
        <f t="shared" si="1"/>
        <v>DECLINING</v>
      </c>
      <c r="H264" s="21" t="s">
        <v>248</v>
      </c>
      <c r="I264" s="24">
        <f>IFERROR(__xludf.DUMMYFUNCTION("ROUND(
  MAX(
    MIN(
      (
        (VALUE(INDEX(SPLIT(K264,""-""),1)) + VALUE(INDEX(SPLIT(K264,""-""),2))) / 2
      ) *
      IFS(
        L264&gt;0.4, 1.6,
        L264&gt;0.1, 1.3,
        L264&gt;=-0.05, 1,
        L264&gt;=-0.2, 0.85,
        TRUE, 0.7
     "&amp;" ),
      VALUE(INDEX(SPLIT(K264,""-""),2))
    ),
    VALUE(INDEX(SPLIT(K264,""-""),1))
  )
)"),107.0)</f>
        <v>107</v>
      </c>
      <c r="J264" s="25">
        <f>I264*(VLOOKUP(C264,'Rev_Mapping Table'!$A$1:$C$12,3,0))</f>
        <v>59492000</v>
      </c>
      <c r="K264" s="24" t="s">
        <v>32</v>
      </c>
      <c r="L264" s="26">
        <v>-0.07</v>
      </c>
      <c r="M264" s="27" t="str">
        <f>VLOOKUP(B264,Master_Mapper!$A$2:$C$628,3,0)</f>
        <v>QHP Capital</v>
      </c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</row>
    <row r="265">
      <c r="A265" s="13" t="b">
        <v>0</v>
      </c>
      <c r="B265" s="14" t="s">
        <v>468</v>
      </c>
      <c r="C265" s="15" t="s">
        <v>111</v>
      </c>
      <c r="D265" s="13" t="str">
        <f>vlookup(B265,Vert_Mapper!$A$2:$C$567,3,0)</f>
        <v>Food &amp; Beverage Manufacturing</v>
      </c>
      <c r="E265" s="13" t="s">
        <v>26</v>
      </c>
      <c r="F265" s="13" t="s">
        <v>18</v>
      </c>
      <c r="G265" s="13" t="str">
        <f t="shared" si="1"/>
        <v>ACCELERATED GROWTH</v>
      </c>
      <c r="H265" s="13" t="s">
        <v>469</v>
      </c>
      <c r="I265" s="16">
        <f>IFERROR(__xludf.DUMMYFUNCTION("ROUND(
  MAX(
    MIN(
      (
        (VALUE(INDEX(SPLIT(K265,""-""),1)) + VALUE(INDEX(SPLIT(K265,""-""),2))) / 2
      ) *
      IFS(
        L265&gt;0.4, 1.6,
        L265&gt;0.1, 1.3,
        L265&gt;=-0.05, 1,
        L265&gt;=-0.2, 0.85,
        TRUE, 0.7
     "&amp;" ),
      VALUE(INDEX(SPLIT(K265,""-""),2))
    ),
    VALUE(INDEX(SPLIT(K265,""-""),1))
  )
)"),8.0)</f>
        <v>8</v>
      </c>
      <c r="J265" s="17">
        <f>I265*(VLOOKUP(C265,'Rev_Mapping Table'!$A$1:$C$12,3,0))</f>
        <v>4448000</v>
      </c>
      <c r="K265" s="30">
        <v>45698.0</v>
      </c>
      <c r="L265" s="18">
        <v>0.4</v>
      </c>
      <c r="M265" s="19" t="str">
        <f>VLOOKUP(B265,Master_Mapper!$A$2:$C$628,3,0)</f>
        <v>Cerity Partners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</row>
    <row r="266">
      <c r="A266" s="21" t="b">
        <v>0</v>
      </c>
      <c r="B266" s="38" t="s">
        <v>470</v>
      </c>
      <c r="C266" s="23" t="s">
        <v>16</v>
      </c>
      <c r="D266" s="21" t="str">
        <f>vlookup(B266,Vert_Mapper!$A$2:$C$567,3,0)</f>
        <v>Home Services / Construction / Industrial Services</v>
      </c>
      <c r="E266" s="37" t="s">
        <v>29</v>
      </c>
      <c r="F266" s="37" t="s">
        <v>34</v>
      </c>
      <c r="G266" s="21" t="str">
        <f t="shared" si="1"/>
        <v>DECLINING</v>
      </c>
      <c r="H266" s="37" t="s">
        <v>471</v>
      </c>
      <c r="I266" s="24">
        <f>IFERROR(__xludf.DUMMYFUNCTION("ROUND(
  MAX(
    MIN(
      (
        (VALUE(INDEX(SPLIT(K266,""-""),1)) + VALUE(INDEX(SPLIT(K266,""-""),2))) / 2
      ) *
      IFS(
        L266&gt;0.4, 1.6,
        L266&gt;0.1, 1.3,
        L266&gt;=-0.05, 1,
        L266&gt;=-0.2, 0.85,
        TRUE, 0.7
     "&amp;" ),
      VALUE(INDEX(SPLIT(K266,""-""),2))
    ),
    VALUE(INDEX(SPLIT(K266,""-""),1))
  )
)"),6375.0)</f>
        <v>6375</v>
      </c>
      <c r="J266" s="25">
        <f>I266*(VLOOKUP(C266,'Rev_Mapping Table'!$A$1:$C$12,3,0))</f>
        <v>3142875000</v>
      </c>
      <c r="K266" s="39" t="s">
        <v>81</v>
      </c>
      <c r="L266" s="40">
        <v>-0.06</v>
      </c>
      <c r="M266" s="27" t="str">
        <f>VLOOKUP(B266,Master_Mapper!$A$2:$C$628,3,0)</f>
        <v>Succession Capital Partners</v>
      </c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</row>
    <row r="267">
      <c r="A267" s="13" t="b">
        <v>0</v>
      </c>
      <c r="B267" s="14" t="s">
        <v>472</v>
      </c>
      <c r="C267" s="15" t="s">
        <v>22</v>
      </c>
      <c r="D267" s="13" t="str">
        <f>vlookup(B267,Vert_Mapper!$A$2:$C$567,3,0)</f>
        <v>Education Technology</v>
      </c>
      <c r="E267" s="13" t="s">
        <v>26</v>
      </c>
      <c r="F267" s="13" t="s">
        <v>18</v>
      </c>
      <c r="G267" s="13" t="str">
        <f t="shared" si="1"/>
        <v>DECLINING</v>
      </c>
      <c r="H267" s="13" t="s">
        <v>473</v>
      </c>
      <c r="I267" s="16">
        <f>IFERROR(__xludf.DUMMYFUNCTION("ROUND(
  MAX(
    MIN(
      (
        (VALUE(INDEX(SPLIT(K267,""-""),1)) + VALUE(INDEX(SPLIT(K267,""-""),2))) / 2
      ) *
      IFS(
        L267&gt;0.4, 1.6,
        L267&gt;0.1, 1.3,
        L267&gt;=-0.05, 1,
        L267&gt;=-0.2, 0.85,
        TRUE, 0.7
     "&amp;" ),
      VALUE(INDEX(SPLIT(K267,""-""),2))
    ),
    VALUE(INDEX(SPLIT(K267,""-""),1))
  )
)"),126.0)</f>
        <v>126</v>
      </c>
      <c r="J267" s="17">
        <f>I267*(VLOOKUP(C267,'Rev_Mapping Table'!$A$1:$C$12,3,0))</f>
        <v>71064000</v>
      </c>
      <c r="K267" s="16" t="s">
        <v>32</v>
      </c>
      <c r="L267" s="18">
        <v>-0.04</v>
      </c>
      <c r="M267" s="19" t="str">
        <f>VLOOKUP(B267,Master_Mapper!$A$2:$C$628,3,0)</f>
        <v>Cerity Partners</v>
      </c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</row>
    <row r="268">
      <c r="A268" s="21" t="b">
        <v>0</v>
      </c>
      <c r="B268" s="31" t="s">
        <v>474</v>
      </c>
      <c r="C268" s="23" t="s">
        <v>16</v>
      </c>
      <c r="D268" s="21" t="str">
        <f>vlookup(B268,Vert_Mapper!$A$2:$C$567,3,0)</f>
        <v>Aerospace and Defense</v>
      </c>
      <c r="E268" s="21" t="s">
        <v>26</v>
      </c>
      <c r="F268" s="21" t="s">
        <v>18</v>
      </c>
      <c r="G268" s="21" t="str">
        <f t="shared" si="1"/>
        <v>DECLINING</v>
      </c>
      <c r="H268" s="21" t="s">
        <v>475</v>
      </c>
      <c r="I268" s="24">
        <f>IFERROR(__xludf.DUMMYFUNCTION("ROUND(
  MAX(
    MIN(
      (
        (VALUE(INDEX(SPLIT(K268,""-""),1)) + VALUE(INDEX(SPLIT(K268,""-""),2))) / 2
      ) *
      IFS(
        L268&gt;0.4, 1.6,
        L268&gt;0.1, 1.3,
        L268&gt;=-0.05, 1,
        L268&gt;=-0.2, 0.85,
        TRUE, 0.7
     "&amp;" ),
      VALUE(INDEX(SPLIT(K268,""-""),2))
    ),
    VALUE(INDEX(SPLIT(K268,""-""),1))
  )
)"),26.0)</f>
        <v>26</v>
      </c>
      <c r="J268" s="25">
        <f>I268*(VLOOKUP(C268,'Rev_Mapping Table'!$A$1:$C$12,3,0))</f>
        <v>12818000</v>
      </c>
      <c r="K268" s="24" t="s">
        <v>25</v>
      </c>
      <c r="L268" s="26">
        <v>-0.12</v>
      </c>
      <c r="M268" s="27" t="str">
        <f>VLOOKUP(B268,Master_Mapper!$A$2:$C$628,3,0)</f>
        <v>Route 2 Capital Partners</v>
      </c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</row>
    <row r="269">
      <c r="A269" s="13" t="b">
        <v>0</v>
      </c>
      <c r="B269" s="14" t="s">
        <v>476</v>
      </c>
      <c r="C269" s="15" t="s">
        <v>220</v>
      </c>
      <c r="D269" s="13" t="str">
        <f>vlookup(B269,Vert_Mapper!$A$2:$C$567,3,0)</f>
        <v>Water &amp; Wastewater Services</v>
      </c>
      <c r="E269" s="13" t="s">
        <v>26</v>
      </c>
      <c r="F269" s="13" t="s">
        <v>18</v>
      </c>
      <c r="G269" s="13" t="str">
        <f t="shared" si="1"/>
        <v>ACCELERATED GROWTH</v>
      </c>
      <c r="H269" s="13" t="s">
        <v>477</v>
      </c>
      <c r="I269" s="16">
        <f>IFERROR(__xludf.DUMMYFUNCTION("ROUND(
  MAX(
    MIN(
      (
        (VALUE(INDEX(SPLIT(K269,""-""),1)) + VALUE(INDEX(SPLIT(K269,""-""),2))) / 2
      ) *
      IFS(
        L269&gt;0.4, 1.6,
        L269&gt;0.1, 1.3,
        L269&gt;=-0.05, 1,
        L269&gt;=-0.2, 0.85,
        TRUE, 0.7
     "&amp;" ),
      VALUE(INDEX(SPLIT(K269,""-""),2))
    ),
    VALUE(INDEX(SPLIT(K269,""-""),1))
  )
)"),8.0)</f>
        <v>8</v>
      </c>
      <c r="J269" s="17">
        <f>I269*(VLOOKUP(C269,'Rev_Mapping Table'!$A$1:$C$12,3,0))</f>
        <v>13920000</v>
      </c>
      <c r="K269" s="30">
        <v>45698.0</v>
      </c>
      <c r="L269" s="18">
        <v>0.4</v>
      </c>
      <c r="M269" s="19" t="str">
        <f>VLOOKUP(B269,Master_Mapper!$A$2:$C$628,3,0)</f>
        <v>Harbright Ventures</v>
      </c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</row>
    <row r="270">
      <c r="A270" s="21" t="b">
        <v>0</v>
      </c>
      <c r="B270" s="31" t="s">
        <v>478</v>
      </c>
      <c r="C270" s="23" t="s">
        <v>38</v>
      </c>
      <c r="D270" s="21" t="str">
        <f>vlookup(B270,Vert_Mapper!$A$2:$C$567,3,0)</f>
        <v>Financial Technology &amp; Investment Services</v>
      </c>
      <c r="E270" s="21" t="s">
        <v>26</v>
      </c>
      <c r="F270" s="21" t="s">
        <v>18</v>
      </c>
      <c r="G270" s="21" t="str">
        <f t="shared" si="1"/>
        <v>DECLINING</v>
      </c>
      <c r="H270" s="21" t="s">
        <v>53</v>
      </c>
      <c r="I270" s="24">
        <f>IFERROR(__xludf.DUMMYFUNCTION("ROUND(
  MAX(
    MIN(
      (
        (VALUE(INDEX(SPLIT(K270,""-""),1)) + VALUE(INDEX(SPLIT(K270,""-""),2))) / 2
      ) *
      IFS(
        L270&gt;0.4, 1.6,
        L270&gt;0.1, 1.3,
        L270&gt;=-0.05, 1,
        L270&gt;=-0.2, 0.85,
        TRUE, 0.7
     "&amp;" ),
      VALUE(INDEX(SPLIT(K270,""-""),2))
    ),
    VALUE(INDEX(SPLIT(K270,""-""),1))
  )
)"),26.0)</f>
        <v>26</v>
      </c>
      <c r="J270" s="25">
        <f>I270*(VLOOKUP(C270,'Rev_Mapping Table'!$A$1:$C$12,3,0))</f>
        <v>23530000</v>
      </c>
      <c r="K270" s="24" t="s">
        <v>25</v>
      </c>
      <c r="L270" s="26">
        <v>-0.12</v>
      </c>
      <c r="M270" s="27" t="str">
        <f>VLOOKUP(B270,Master_Mapper!$A$2:$C$628,3,0)</f>
        <v>Cerity Partners</v>
      </c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</row>
    <row r="271">
      <c r="A271" s="13" t="b">
        <v>0</v>
      </c>
      <c r="B271" s="14" t="s">
        <v>479</v>
      </c>
      <c r="C271" s="15" t="s">
        <v>16</v>
      </c>
      <c r="D271" s="13" t="str">
        <f>vlookup(B271,Vert_Mapper!$A$2:$C$567,3,0)</f>
        <v>Home Services / Construction / Industrial Services</v>
      </c>
      <c r="E271" s="13" t="s">
        <v>26</v>
      </c>
      <c r="F271" s="13" t="s">
        <v>18</v>
      </c>
      <c r="G271" s="13" t="str">
        <f t="shared" si="1"/>
        <v>HYPERGROWTH</v>
      </c>
      <c r="H271" s="13" t="s">
        <v>131</v>
      </c>
      <c r="I271" s="16" t="str">
        <f>IFERROR(__xludf.DUMMYFUNCTION("ROUND(
  MAX(
    MIN(
      (
        (VALUE(INDEX(SPLIT(K271,""-""),1)) + VALUE(INDEX(SPLIT(K271,""-""),2))) / 2
      ) *
      IFS(
        L271&gt;0.4, 1.6,
        L271&gt;0.1, 1.3,
        L271&gt;=-0.05, 1,
        L271&gt;=-0.2, 0.85,
        TRUE, 0.7
     "&amp;" ),
      VALUE(INDEX(SPLIT(K271,""-""),2))
    ),
    VALUE(INDEX(SPLIT(K271,""-""),1))
  )
)"),"#VALUE!")</f>
        <v>#VALUE!</v>
      </c>
      <c r="J271" s="17" t="str">
        <f>I271*(VLOOKUP(C271,'Rev_Mapping Table'!$A$1:$C$12,3,0))</f>
        <v>#VALUE!</v>
      </c>
      <c r="K271" s="33" t="s">
        <v>131</v>
      </c>
      <c r="L271" s="33" t="s">
        <v>131</v>
      </c>
      <c r="M271" s="19" t="str">
        <f>VLOOKUP(B271,Master_Mapper!$A$2:$C$628,3,0)</f>
        <v>Succession Capital Partners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</row>
    <row r="272">
      <c r="A272" s="21" t="b">
        <v>0</v>
      </c>
      <c r="B272" s="31" t="s">
        <v>480</v>
      </c>
      <c r="C272" s="23" t="s">
        <v>16</v>
      </c>
      <c r="D272" s="21" t="str">
        <f>vlookup(B272,Vert_Mapper!$A$2:$C$567,3,0)</f>
        <v>Home Services / Construction / Industrial Services</v>
      </c>
      <c r="E272" s="21" t="s">
        <v>65</v>
      </c>
      <c r="F272" s="21" t="s">
        <v>30</v>
      </c>
      <c r="G272" s="21" t="str">
        <f t="shared" si="1"/>
        <v>GROWTH PHASE</v>
      </c>
      <c r="H272" s="21" t="s">
        <v>481</v>
      </c>
      <c r="I272" s="24">
        <f>IFERROR(__xludf.DUMMYFUNCTION("ROUND(
  MAX(
    MIN(
      (
        (VALUE(INDEX(SPLIT(K272,""-""),1)) + VALUE(INDEX(SPLIT(K272,""-""),2))) / 2
      ) *
      IFS(
        L272&gt;0.4, 1.6,
        L272&gt;0.1, 1.3,
        L272&gt;=-0.05, 1,
        L272&gt;=-0.2, 0.85,
        TRUE, 0.7
     "&amp;" ),
      VALUE(INDEX(SPLIT(K272,""-""),2))
    ),
    VALUE(INDEX(SPLIT(K272,""-""),1))
  )
)"),7501.0)</f>
        <v>7501</v>
      </c>
      <c r="J272" s="25">
        <f>I272*(VLOOKUP(C272,'Rev_Mapping Table'!$A$1:$C$12,3,0))</f>
        <v>3697993000</v>
      </c>
      <c r="K272" s="24" t="s">
        <v>81</v>
      </c>
      <c r="L272" s="26">
        <v>0.08</v>
      </c>
      <c r="M272" s="27" t="str">
        <f>VLOOKUP(B272,Master_Mapper!$A$2:$C$628,3,0)</f>
        <v>Succession Capital Partners</v>
      </c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</row>
    <row r="273">
      <c r="A273" s="13" t="b">
        <v>0</v>
      </c>
      <c r="B273" s="14" t="s">
        <v>482</v>
      </c>
      <c r="C273" s="15" t="s">
        <v>56</v>
      </c>
      <c r="D273" s="13" t="str">
        <f>vlookup(B273,Vert_Mapper!$A$2:$C$567,3,0)</f>
        <v>Consumer Products</v>
      </c>
      <c r="E273" s="13" t="s">
        <v>26</v>
      </c>
      <c r="F273" s="13" t="s">
        <v>18</v>
      </c>
      <c r="G273" s="13" t="str">
        <f t="shared" si="1"/>
        <v>DECLINING</v>
      </c>
      <c r="H273" s="13" t="s">
        <v>483</v>
      </c>
      <c r="I273" s="16">
        <f>IFERROR(__xludf.DUMMYFUNCTION("ROUND(
  MAX(
    MIN(
      (
        (VALUE(INDEX(SPLIT(K273,""-""),1)) + VALUE(INDEX(SPLIT(K273,""-""),2))) / 2
      ) *
      IFS(
        L273&gt;0.4, 1.6,
        L273&gt;0.1, 1.3,
        L273&gt;=-0.05, 1,
        L273&gt;=-0.2, 0.85,
        TRUE, 0.7
     "&amp;" ),
      VALUE(INDEX(SPLIT(K273,""-""),2))
    ),
    VALUE(INDEX(SPLIT(K273,""-""),1))
  )
)"),107.0)</f>
        <v>107</v>
      </c>
      <c r="J273" s="17">
        <f>I273*(VLOOKUP(C273,'Rev_Mapping Table'!$A$1:$C$12,3,0))</f>
        <v>54784000</v>
      </c>
      <c r="K273" s="16" t="s">
        <v>32</v>
      </c>
      <c r="L273" s="18">
        <v>-0.1</v>
      </c>
      <c r="M273" s="19" t="str">
        <f>VLOOKUP(B273,Master_Mapper!$A$2:$C$628,3,0)</f>
        <v>Route 2 Capital Partners</v>
      </c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</row>
    <row r="274">
      <c r="A274" s="21" t="b">
        <v>0</v>
      </c>
      <c r="B274" s="31" t="s">
        <v>484</v>
      </c>
      <c r="C274" s="23" t="s">
        <v>56</v>
      </c>
      <c r="D274" s="21" t="str">
        <f>vlookup(B274,Vert_Mapper!$A$2:$C$567,3,0)</f>
        <v>Gaming &amp; Entertainment</v>
      </c>
      <c r="E274" s="21" t="s">
        <v>26</v>
      </c>
      <c r="F274" s="21" t="s">
        <v>18</v>
      </c>
      <c r="G274" s="21" t="str">
        <f t="shared" si="1"/>
        <v>DECLINING</v>
      </c>
      <c r="H274" s="21" t="s">
        <v>83</v>
      </c>
      <c r="I274" s="24">
        <f>IFERROR(__xludf.DUMMYFUNCTION("ROUND(
  MAX(
    MIN(
      (
        (VALUE(INDEX(SPLIT(K274,""-""),1)) + VALUE(INDEX(SPLIT(K274,""-""),2))) / 2
      ) *
      IFS(
        L274&gt;0.4, 1.6,
        L274&gt;0.1, 1.3,
        L274&gt;=-0.05, 1,
        L274&gt;=-0.2, 0.85,
        TRUE, 0.7
     "&amp;" ),
      VALUE(INDEX(SPLIT(K274,""-""),2))
    ),
    VALUE(INDEX(SPLIT(K274,""-""),1))
  )
)"),298.0)</f>
        <v>298</v>
      </c>
      <c r="J274" s="25">
        <f>I274*(VLOOKUP(C274,'Rev_Mapping Table'!$A$1:$C$12,3,0))</f>
        <v>152576000</v>
      </c>
      <c r="K274" s="24" t="s">
        <v>20</v>
      </c>
      <c r="L274" s="26">
        <v>-0.19</v>
      </c>
      <c r="M274" s="27" t="str">
        <f>VLOOKUP(B274,Master_Mapper!$A$2:$C$628,3,0)</f>
        <v>Cerity Partners</v>
      </c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</row>
    <row r="275">
      <c r="A275" s="13" t="b">
        <v>0</v>
      </c>
      <c r="B275" s="14" t="s">
        <v>485</v>
      </c>
      <c r="C275" s="15" t="s">
        <v>46</v>
      </c>
      <c r="D275" s="13" t="str">
        <f>vlookup(B275,Vert_Mapper!$A$2:$C$567,3,0)</f>
        <v>Healthcare Technology &amp; Analytics</v>
      </c>
      <c r="E275" s="13" t="s">
        <v>26</v>
      </c>
      <c r="F275" s="13" t="s">
        <v>18</v>
      </c>
      <c r="G275" s="13" t="str">
        <f t="shared" si="1"/>
        <v>DECLINING</v>
      </c>
      <c r="H275" s="13" t="s">
        <v>486</v>
      </c>
      <c r="I275" s="16">
        <f>IFERROR(__xludf.DUMMYFUNCTION("ROUND(
  MAX(
    MIN(
      (
        (VALUE(INDEX(SPLIT(K275,""-""),1)) + VALUE(INDEX(SPLIT(K275,""-""),2))) / 2
      ) *
      IFS(
        L275&gt;0.4, 1.6,
        L275&gt;0.1, 1.3,
        L275&gt;=-0.05, 1,
        L275&gt;=-0.2, 0.85,
        TRUE, 0.7
     "&amp;" ),
      VALUE(INDEX(SPLIT(K275,""-""),2))
    ),
    VALUE(INDEX(SPLIT(K275,""-""),1))
  )
)"),298.0)</f>
        <v>298</v>
      </c>
      <c r="J275" s="17">
        <f>I275*(VLOOKUP(C275,'Rev_Mapping Table'!$A$1:$C$12,3,0))</f>
        <v>165688000</v>
      </c>
      <c r="K275" s="16" t="s">
        <v>20</v>
      </c>
      <c r="L275" s="18">
        <v>-0.18</v>
      </c>
      <c r="M275" s="19" t="str">
        <f>VLOOKUP(B275,Master_Mapper!$A$2:$C$628,3,0)</f>
        <v>Frontier Growth</v>
      </c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</row>
    <row r="276">
      <c r="A276" s="21" t="b">
        <v>0</v>
      </c>
      <c r="B276" s="31" t="s">
        <v>487</v>
      </c>
      <c r="C276" s="23" t="s">
        <v>72</v>
      </c>
      <c r="D276" s="21" t="str">
        <f>vlookup(B276,Vert_Mapper!$A$2:$C$567,3,0)</f>
        <v>Marketing &amp; Advertising</v>
      </c>
      <c r="E276" s="21" t="s">
        <v>26</v>
      </c>
      <c r="F276" s="21" t="s">
        <v>18</v>
      </c>
      <c r="G276" s="21" t="str">
        <f t="shared" si="1"/>
        <v>FLAT TO NEUTRAL</v>
      </c>
      <c r="H276" s="21" t="s">
        <v>488</v>
      </c>
      <c r="I276" s="24">
        <f>IFERROR(__xludf.DUMMYFUNCTION("ROUND(
  MAX(
    MIN(
      (
        (VALUE(INDEX(SPLIT(K276,""-""),1)) + VALUE(INDEX(SPLIT(K276,""-""),2))) / 2
      ) *
      IFS(
        L276&gt;0.4, 1.6,
        L276&gt;0.1, 1.3,
        L276&gt;=-0.05, 1,
        L276&gt;=-0.2, 0.85,
        TRUE, 0.7
     "&amp;" ),
      VALUE(INDEX(SPLIT(K276,""-""),2))
    ),
    VALUE(INDEX(SPLIT(K276,""-""),1))
  )
)"),751.0)</f>
        <v>751</v>
      </c>
      <c r="J276" s="25">
        <f>I276*(VLOOKUP(C276,'Rev_Mapping Table'!$A$1:$C$12,3,0))</f>
        <v>423564000</v>
      </c>
      <c r="K276" s="24" t="s">
        <v>54</v>
      </c>
      <c r="L276" s="26">
        <v>0.02</v>
      </c>
      <c r="M276" s="27" t="str">
        <f>VLOOKUP(B276,Master_Mapper!$A$2:$C$628,3,0)</f>
        <v>Monomoy Capital Partners</v>
      </c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</row>
    <row r="277">
      <c r="A277" s="13" t="b">
        <v>0</v>
      </c>
      <c r="B277" s="14" t="s">
        <v>489</v>
      </c>
      <c r="C277" s="15" t="s">
        <v>16</v>
      </c>
      <c r="D277" s="13" t="str">
        <f>vlookup(B277,Vert_Mapper!$A$2:$C$567,3,0)</f>
        <v>Manufacturing &amp; Processing</v>
      </c>
      <c r="E277" s="13" t="s">
        <v>26</v>
      </c>
      <c r="F277" s="13" t="s">
        <v>18</v>
      </c>
      <c r="G277" s="13" t="str">
        <f t="shared" si="1"/>
        <v>ACCELERATED GROWTH</v>
      </c>
      <c r="H277" s="13" t="s">
        <v>490</v>
      </c>
      <c r="I277" s="16">
        <f>IFERROR(__xludf.DUMMYFUNCTION("ROUND(
  MAX(
    MIN(
      (
        (VALUE(INDEX(SPLIT(K277,""-""),1)) + VALUE(INDEX(SPLIT(K277,""-""),2))) / 2
      ) *
      IFS(
        L277&gt;0.4, 1.6,
        L277&gt;0.1, 1.3,
        L277&gt;=-0.05, 1,
        L277&gt;=-0.2, 0.85,
        TRUE, 0.7
     "&amp;" ),
      VALUE(INDEX(SPLIT(K277,""-""),2))
    ),
    VALUE(INDEX(SPLIT(K277,""-""),1))
  )
)"),49.0)</f>
        <v>49</v>
      </c>
      <c r="J277" s="17">
        <f>I277*(VLOOKUP(C277,'Rev_Mapping Table'!$A$1:$C$12,3,0))</f>
        <v>24157000</v>
      </c>
      <c r="K277" s="16" t="s">
        <v>25</v>
      </c>
      <c r="L277" s="18">
        <v>0.57</v>
      </c>
      <c r="M277" s="19" t="str">
        <f>VLOOKUP(B277,Master_Mapper!$A$2:$C$628,3,0)</f>
        <v>Route 2 Capital Partners</v>
      </c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</row>
    <row r="278">
      <c r="A278" s="21" t="b">
        <v>0</v>
      </c>
      <c r="B278" s="31" t="s">
        <v>491</v>
      </c>
      <c r="C278" s="23" t="s">
        <v>111</v>
      </c>
      <c r="D278" s="21" t="str">
        <f>vlookup(B278,Vert_Mapper!$A$2:$C$567,3,0)</f>
        <v>Food &amp; Beverage Manufacturing</v>
      </c>
      <c r="E278" s="21" t="s">
        <v>26</v>
      </c>
      <c r="F278" s="21" t="s">
        <v>18</v>
      </c>
      <c r="G278" s="21" t="str">
        <f t="shared" si="1"/>
        <v>GROWTH PHASE</v>
      </c>
      <c r="H278" s="21" t="s">
        <v>492</v>
      </c>
      <c r="I278" s="24">
        <f>IFERROR(__xludf.DUMMYFUNCTION("ROUND(
  MAX(
    MIN(
      (
        (VALUE(INDEX(SPLIT(K278,""-""),1)) + VALUE(INDEX(SPLIT(K278,""-""),2))) / 2
      ) *
      IFS(
        L278&gt;0.4, 1.6,
        L278&gt;0.1, 1.3,
        L278&gt;=-0.05, 1,
        L278&gt;=-0.2, 0.85,
        TRUE, 0.7
     "&amp;" ),
      VALUE(INDEX(SPLIT(K278,""-""),2))
    ),
    VALUE(INDEX(SPLIT(K278,""-""),1))
  )
)"),126.0)</f>
        <v>126</v>
      </c>
      <c r="J278" s="25">
        <f>I278*(VLOOKUP(C278,'Rev_Mapping Table'!$A$1:$C$12,3,0))</f>
        <v>70056000</v>
      </c>
      <c r="K278" s="24" t="s">
        <v>32</v>
      </c>
      <c r="L278" s="26">
        <v>0.06</v>
      </c>
      <c r="M278" s="27" t="str">
        <f>VLOOKUP(B278,Master_Mapper!$A$2:$C$628,3,0)</f>
        <v>Azalea Capital</v>
      </c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</row>
    <row r="279">
      <c r="A279" s="13" t="b">
        <v>0</v>
      </c>
      <c r="B279" s="14" t="s">
        <v>493</v>
      </c>
      <c r="C279" s="15" t="s">
        <v>46</v>
      </c>
      <c r="D279" s="13" t="str">
        <f>vlookup(B279,Vert_Mapper!$A$2:$C$567,3,0)</f>
        <v>Healthcare Technology &amp; Analytics</v>
      </c>
      <c r="E279" s="13" t="s">
        <v>26</v>
      </c>
      <c r="F279" s="13" t="s">
        <v>18</v>
      </c>
      <c r="G279" s="13" t="str">
        <f t="shared" si="1"/>
        <v>FLAT TO NEUTRAL</v>
      </c>
      <c r="H279" s="13" t="s">
        <v>494</v>
      </c>
      <c r="I279" s="16">
        <f>IFERROR(__xludf.DUMMYFUNCTION("ROUND(
  MAX(
    MIN(
      (
        (VALUE(INDEX(SPLIT(K279,""-""),1)) + VALUE(INDEX(SPLIT(K279,""-""),2))) / 2
      ) *
      IFS(
        L279&gt;0.4, 1.6,
        L279&gt;0.1, 1.3,
        L279&gt;=-0.05, 1,
        L279&gt;=-0.2, 0.85,
        TRUE, 0.7
     "&amp;" ),
      VALUE(INDEX(SPLIT(K279,""-""),2))
    ),
    VALUE(INDEX(SPLIT(K279,""-""),1))
  )
)"),126.0)</f>
        <v>126</v>
      </c>
      <c r="J279" s="17">
        <f>I279*(VLOOKUP(C279,'Rev_Mapping Table'!$A$1:$C$12,3,0))</f>
        <v>70056000</v>
      </c>
      <c r="K279" s="16" t="s">
        <v>32</v>
      </c>
      <c r="L279" s="18">
        <v>0.03</v>
      </c>
      <c r="M279" s="19" t="str">
        <f>VLOOKUP(B279,Master_Mapper!$A$2:$C$628,3,0)</f>
        <v>Falfurrias Capital Partners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</row>
    <row r="280">
      <c r="A280" s="21" t="b">
        <v>0</v>
      </c>
      <c r="B280" s="31" t="s">
        <v>495</v>
      </c>
      <c r="C280" s="23" t="s">
        <v>38</v>
      </c>
      <c r="D280" s="21" t="str">
        <f>vlookup(B280,Vert_Mapper!$A$2:$C$567,3,0)</f>
        <v>Venture Capital &amp; Private Equity</v>
      </c>
      <c r="E280" s="21" t="s">
        <v>85</v>
      </c>
      <c r="F280" s="21" t="s">
        <v>86</v>
      </c>
      <c r="G280" s="21" t="str">
        <f t="shared" si="1"/>
        <v>DECLINING</v>
      </c>
      <c r="H280" s="21" t="s">
        <v>433</v>
      </c>
      <c r="I280" s="24">
        <f>IFERROR(__xludf.DUMMYFUNCTION("ROUND(
  MAX(
    MIN(
      (
        (VALUE(INDEX(SPLIT(K280,""-""),1)) + VALUE(INDEX(SPLIT(K280,""-""),2))) / 2
      ) *
      IFS(
        L280&gt;0.4, 1.6,
        L280&gt;0.1, 1.3,
        L280&gt;=-0.05, 1,
        L280&gt;=-0.2, 0.85,
        TRUE, 0.7
     "&amp;" ),
      VALUE(INDEX(SPLIT(K280,""-""),2))
    ),
    VALUE(INDEX(SPLIT(K280,""-""),1))
  )
)"),5.0)</f>
        <v>5</v>
      </c>
      <c r="J280" s="25">
        <f>I280*(VLOOKUP(C280,'Rev_Mapping Table'!$A$1:$C$12,3,0))</f>
        <v>4525000</v>
      </c>
      <c r="K280" s="32">
        <v>45698.0</v>
      </c>
      <c r="L280" s="26">
        <v>-0.14</v>
      </c>
      <c r="M280" s="27" t="str">
        <f>VLOOKUP(B280,Master_Mapper!$A$2:$C$628,3,0)</f>
        <v>Eshelman Ventures, LLC</v>
      </c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</row>
    <row r="281">
      <c r="A281" s="13" t="b">
        <v>0</v>
      </c>
      <c r="B281" s="14" t="s">
        <v>496</v>
      </c>
      <c r="C281" s="15" t="s">
        <v>56</v>
      </c>
      <c r="D281" s="13" t="str">
        <f>vlookup(B281,Vert_Mapper!$A$2:$C$567,3,0)</f>
        <v>Travel &amp; Hospitality Services</v>
      </c>
      <c r="E281" s="13" t="s">
        <v>175</v>
      </c>
      <c r="F281" s="13" t="s">
        <v>34</v>
      </c>
      <c r="G281" s="13" t="str">
        <f t="shared" si="1"/>
        <v>HYPERGROWTH</v>
      </c>
      <c r="H281" s="13" t="s">
        <v>131</v>
      </c>
      <c r="I281" s="16" t="str">
        <f>IFERROR(__xludf.DUMMYFUNCTION("ROUND(
  MAX(
    MIN(
      (
        (VALUE(INDEX(SPLIT(K281,""-""),1)) + VALUE(INDEX(SPLIT(K281,""-""),2))) / 2
      ) *
      IFS(
        L281&gt;0.4, 1.6,
        L281&gt;0.1, 1.3,
        L281&gt;=-0.05, 1,
        L281&gt;=-0.2, 0.85,
        TRUE, 0.7
     "&amp;" ),
      VALUE(INDEX(SPLIT(K281,""-""),2))
    ),
    VALUE(INDEX(SPLIT(K281,""-""),1))
  )
)"),"#VALUE!")</f>
        <v>#VALUE!</v>
      </c>
      <c r="J281" s="17" t="str">
        <f>I281*(VLOOKUP(C281,'Rev_Mapping Table'!$A$1:$C$12,3,0))</f>
        <v>#VALUE!</v>
      </c>
      <c r="K281" s="33" t="s">
        <v>131</v>
      </c>
      <c r="L281" s="33" t="s">
        <v>131</v>
      </c>
      <c r="M281" s="19" t="str">
        <f>VLOOKUP(B281,Master_Mapper!$A$2:$C$628,3,0)</f>
        <v>Hargett Hunter</v>
      </c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</row>
    <row r="282">
      <c r="A282" s="21" t="b">
        <v>0</v>
      </c>
      <c r="B282" s="31" t="s">
        <v>497</v>
      </c>
      <c r="C282" s="23" t="s">
        <v>46</v>
      </c>
      <c r="D282" s="21" t="str">
        <f>vlookup(B282,Vert_Mapper!$A$2:$C$567,3,0)</f>
        <v>Biotechnology &amp; Pharmaceuticals</v>
      </c>
      <c r="E282" s="21" t="s">
        <v>26</v>
      </c>
      <c r="F282" s="21" t="s">
        <v>18</v>
      </c>
      <c r="G282" s="21" t="str">
        <f t="shared" si="1"/>
        <v>DECLINING</v>
      </c>
      <c r="H282" s="21" t="s">
        <v>57</v>
      </c>
      <c r="I282" s="24">
        <f>IFERROR(__xludf.DUMMYFUNCTION("ROUND(
  MAX(
    MIN(
      (
        (VALUE(INDEX(SPLIT(K282,""-""),1)) + VALUE(INDEX(SPLIT(K282,""-""),2))) / 2
      ) *
      IFS(
        L282&gt;0.4, 1.6,
        L282&gt;0.1, 1.3,
        L282&gt;=-0.05, 1,
        L282&gt;=-0.2, 0.85,
        TRUE, 0.7
     "&amp;" ),
      VALUE(INDEX(SPLIT(K282,""-""),2))
    ),
    VALUE(INDEX(SPLIT(K282,""-""),1))
  )
)"),26.0)</f>
        <v>26</v>
      </c>
      <c r="J282" s="25">
        <f>I282*(VLOOKUP(C282,'Rev_Mapping Table'!$A$1:$C$12,3,0))</f>
        <v>14456000</v>
      </c>
      <c r="K282" s="24" t="s">
        <v>25</v>
      </c>
      <c r="L282" s="26">
        <v>-0.2</v>
      </c>
      <c r="M282" s="27" t="str">
        <f>VLOOKUP(B282,Master_Mapper!$A$2:$C$628,3,0)</f>
        <v>VentureSouth</v>
      </c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</row>
    <row r="283">
      <c r="A283" s="13" t="b">
        <v>0</v>
      </c>
      <c r="B283" s="14" t="s">
        <v>498</v>
      </c>
      <c r="C283" s="15" t="s">
        <v>46</v>
      </c>
      <c r="D283" s="13" t="str">
        <f>vlookup(B283,Vert_Mapper!$A$2:$C$567,3,0)</f>
        <v>Biotechnology &amp; Pharmaceuticals</v>
      </c>
      <c r="E283" s="13" t="s">
        <v>85</v>
      </c>
      <c r="F283" s="13" t="s">
        <v>86</v>
      </c>
      <c r="G283" s="13" t="str">
        <f t="shared" si="1"/>
        <v>SEVERELY NEGATIVE</v>
      </c>
      <c r="H283" s="13" t="s">
        <v>286</v>
      </c>
      <c r="I283" s="16">
        <f>IFERROR(__xludf.DUMMYFUNCTION("ROUND(
  MAX(
    MIN(
      (
        (VALUE(INDEX(SPLIT(K283,""-""),1)) + VALUE(INDEX(SPLIT(K283,""-""),2))) / 2
      ) *
      IFS(
        L283&gt;0.4, 1.6,
        L283&gt;0.1, 1.3,
        L283&gt;=-0.05, 1,
        L283&gt;=-0.2, 0.85,
        TRUE, 0.7
     "&amp;" ),
      VALUE(INDEX(SPLIT(K283,""-""),2))
    ),
    VALUE(INDEX(SPLIT(K283,""-""),1))
  )
)"),4.0)</f>
        <v>4</v>
      </c>
      <c r="J283" s="17">
        <f>I283*(VLOOKUP(C283,'Rev_Mapping Table'!$A$1:$C$12,3,0))</f>
        <v>2224000</v>
      </c>
      <c r="K283" s="30">
        <v>45698.0</v>
      </c>
      <c r="L283" s="18">
        <v>-0.33</v>
      </c>
      <c r="M283" s="19" t="str">
        <f>VLOOKUP(B283,Master_Mapper!$A$2:$C$628,3,0)</f>
        <v>Eshelman Ventures, LLC</v>
      </c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</row>
    <row r="284">
      <c r="A284" s="21" t="b">
        <v>0</v>
      </c>
      <c r="B284" s="31" t="s">
        <v>499</v>
      </c>
      <c r="C284" s="23" t="s">
        <v>42</v>
      </c>
      <c r="D284" s="21" t="str">
        <f>vlookup(B284,Vert_Mapper!$A$2:$C$567,3,0)</f>
        <v>Hospitality &amp; Resorts</v>
      </c>
      <c r="E284" s="21" t="s">
        <v>26</v>
      </c>
      <c r="F284" s="21" t="s">
        <v>18</v>
      </c>
      <c r="G284" s="21" t="str">
        <f t="shared" si="1"/>
        <v>GROWTH PHASE</v>
      </c>
      <c r="H284" s="21" t="s">
        <v>83</v>
      </c>
      <c r="I284" s="24">
        <f>IFERROR(__xludf.DUMMYFUNCTION("ROUND(
  MAX(
    MIN(
      (
        (VALUE(INDEX(SPLIT(K284,""-""),1)) + VALUE(INDEX(SPLIT(K284,""-""),2))) / 2
      ) *
      IFS(
        L284&gt;0.4, 1.6,
        L284&gt;0.1, 1.3,
        L284&gt;=-0.05, 1,
        L284&gt;=-0.2, 0.85,
        TRUE, 0.7
     "&amp;" ),
      VALUE(INDEX(SPLIT(K284,""-""),2))
    ),
    VALUE(INDEX(SPLIT(K284,""-""),1))
  )
)"),456.0)</f>
        <v>456</v>
      </c>
      <c r="J284" s="25">
        <f>I284*(VLOOKUP(C284,'Rev_Mapping Table'!$A$1:$C$12,3,0))</f>
        <v>209760000</v>
      </c>
      <c r="K284" s="24" t="s">
        <v>20</v>
      </c>
      <c r="L284" s="26">
        <v>0.14</v>
      </c>
      <c r="M284" s="27" t="str">
        <f>VLOOKUP(B284,Master_Mapper!$A$2:$C$628,3,0)</f>
        <v>Cerity Partners</v>
      </c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</row>
    <row r="285">
      <c r="A285" s="13" t="b">
        <v>0</v>
      </c>
      <c r="B285" s="14" t="s">
        <v>500</v>
      </c>
      <c r="C285" s="15" t="s">
        <v>16</v>
      </c>
      <c r="D285" s="13" t="str">
        <f>vlookup(B285,Vert_Mapper!$A$2:$C$567,3,0)</f>
        <v>Engineering &amp; Construction Services</v>
      </c>
      <c r="E285" s="13" t="s">
        <v>26</v>
      </c>
      <c r="F285" s="13" t="s">
        <v>18</v>
      </c>
      <c r="G285" s="13" t="str">
        <f t="shared" si="1"/>
        <v>GROWTH PHASE</v>
      </c>
      <c r="H285" s="13" t="s">
        <v>501</v>
      </c>
      <c r="I285" s="16">
        <f>IFERROR(__xludf.DUMMYFUNCTION("ROUND(
  MAX(
    MIN(
      (
        (VALUE(INDEX(SPLIT(K285,""-""),1)) + VALUE(INDEX(SPLIT(K285,""-""),2))) / 2
      ) *
      IFS(
        L285&gt;0.4, 1.6,
        L285&gt;0.1, 1.3,
        L285&gt;=-0.05, 1,
        L285&gt;=-0.2, 0.85,
        TRUE, 0.7
     "&amp;" ),
      VALUE(INDEX(SPLIT(K285,""-""),2))
    ),
    VALUE(INDEX(SPLIT(K285,""-""),1))
  )
)"),3001.0)</f>
        <v>3001</v>
      </c>
      <c r="J285" s="17">
        <f>I285*(VLOOKUP(C285,'Rev_Mapping Table'!$A$1:$C$12,3,0))</f>
        <v>1479493000</v>
      </c>
      <c r="K285" s="16" t="s">
        <v>277</v>
      </c>
      <c r="L285" s="18">
        <v>0.05</v>
      </c>
      <c r="M285" s="19" t="str">
        <f>VLOOKUP(B285,Master_Mapper!$A$2:$C$628,3,0)</f>
        <v>Monomoy Capital Partners</v>
      </c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</row>
    <row r="286">
      <c r="A286" s="21" t="b">
        <v>0</v>
      </c>
      <c r="B286" s="31" t="s">
        <v>502</v>
      </c>
      <c r="C286" s="23" t="s">
        <v>111</v>
      </c>
      <c r="D286" s="21" t="str">
        <f>vlookup(B286,Vert_Mapper!$A$2:$C$567,3,0)</f>
        <v>#N/A</v>
      </c>
      <c r="E286" s="21" t="s">
        <v>26</v>
      </c>
      <c r="F286" s="21" t="s">
        <v>18</v>
      </c>
      <c r="G286" s="21" t="str">
        <f t="shared" si="1"/>
        <v>DECLINING</v>
      </c>
      <c r="H286" s="21" t="s">
        <v>24</v>
      </c>
      <c r="I286" s="24">
        <f>IFERROR(__xludf.DUMMYFUNCTION("ROUND(
  MAX(
    MIN(
      (
        (VALUE(INDEX(SPLIT(K286,""-""),1)) + VALUE(INDEX(SPLIT(K286,""-""),2))) / 2
      ) *
      IFS(
        L286&gt;0.4, 1.6,
        L286&gt;0.1, 1.3,
        L286&gt;=-0.05, 1,
        L286&gt;=-0.2, 0.85,
        TRUE, 0.7
     "&amp;" ),
      VALUE(INDEX(SPLIT(K286,""-""),2))
    ),
    VALUE(INDEX(SPLIT(K286,""-""),1))
  )
)"),126.0)</f>
        <v>126</v>
      </c>
      <c r="J286" s="25">
        <f>I286*(VLOOKUP(C286,'Rev_Mapping Table'!$A$1:$C$12,3,0))</f>
        <v>70056000</v>
      </c>
      <c r="K286" s="24" t="s">
        <v>32</v>
      </c>
      <c r="L286" s="26">
        <v>-0.05</v>
      </c>
      <c r="M286" s="27" t="str">
        <f>VLOOKUP(B286,Master_Mapper!$A$2:$C$628,3,0)</f>
        <v>Cerity Partners</v>
      </c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</row>
    <row r="287">
      <c r="A287" s="13" t="b">
        <v>0</v>
      </c>
      <c r="B287" s="14" t="s">
        <v>503</v>
      </c>
      <c r="C287" s="15" t="s">
        <v>22</v>
      </c>
      <c r="D287" s="13" t="str">
        <f>vlookup(B287,Vert_Mapper!$A$2:$C$567,3,0)</f>
        <v>Software &amp; SaaS</v>
      </c>
      <c r="E287" s="13" t="s">
        <v>65</v>
      </c>
      <c r="F287" s="13" t="s">
        <v>18</v>
      </c>
      <c r="G287" s="13" t="str">
        <f t="shared" si="1"/>
        <v>DECLINING</v>
      </c>
      <c r="H287" s="13" t="s">
        <v>504</v>
      </c>
      <c r="I287" s="16">
        <f>IFERROR(__xludf.DUMMYFUNCTION("ROUND(
  MAX(
    MIN(
      (
        (VALUE(INDEX(SPLIT(K287,""-""),1)) + VALUE(INDEX(SPLIT(K287,""-""),2))) / 2
      ) *
      IFS(
        L287&gt;0.4, 1.6,
        L287&gt;0.1, 1.3,
        L287&gt;=-0.05, 1,
        L287&gt;=-0.2, 0.85,
        TRUE, 0.7
     "&amp;" ),
      VALUE(INDEX(SPLIT(K287,""-""),2))
    ),
    VALUE(INDEX(SPLIT(K287,""-""),1))
  )
)"),126.0)</f>
        <v>126</v>
      </c>
      <c r="J287" s="17">
        <f>I287*(VLOOKUP(C287,'Rev_Mapping Table'!$A$1:$C$12,3,0))</f>
        <v>71064000</v>
      </c>
      <c r="K287" s="16" t="s">
        <v>32</v>
      </c>
      <c r="L287" s="18">
        <v>-0.05</v>
      </c>
      <c r="M287" s="19" t="str">
        <f>VLOOKUP(B287,Master_Mapper!$A$2:$C$628,3,0)</f>
        <v>Pamlico Capital</v>
      </c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</row>
    <row r="288">
      <c r="A288" s="21" t="b">
        <v>0</v>
      </c>
      <c r="B288" s="31" t="s">
        <v>505</v>
      </c>
      <c r="C288" s="23" t="s">
        <v>42</v>
      </c>
      <c r="D288" s="21" t="str">
        <f>vlookup(B288,Vert_Mapper!$A$2:$C$567,3,0)</f>
        <v>Real Estate Services</v>
      </c>
      <c r="E288" s="21" t="s">
        <v>26</v>
      </c>
      <c r="F288" s="21" t="s">
        <v>18</v>
      </c>
      <c r="G288" s="21" t="str">
        <f t="shared" si="1"/>
        <v>DECLINING</v>
      </c>
      <c r="H288" s="21" t="s">
        <v>506</v>
      </c>
      <c r="I288" s="24">
        <f>IFERROR(__xludf.DUMMYFUNCTION("ROUND(
  MAX(
    MIN(
      (
        (VALUE(INDEX(SPLIT(K288,""-""),1)) + VALUE(INDEX(SPLIT(K288,""-""),2))) / 2
      ) *
      IFS(
        L288&gt;0.4, 1.6,
        L288&gt;0.1, 1.3,
        L288&gt;=-0.05, 1,
        L288&gt;=-0.2, 0.85,
        TRUE, 0.7
     "&amp;" ),
      VALUE(INDEX(SPLIT(K288,""-""),2))
    ),
    VALUE(INDEX(SPLIT(K288,""-""),1))
  )
)"),751.0)</f>
        <v>751</v>
      </c>
      <c r="J288" s="25">
        <f>I288*(VLOOKUP(C288,'Rev_Mapping Table'!$A$1:$C$12,3,0))</f>
        <v>345460000</v>
      </c>
      <c r="K288" s="24" t="s">
        <v>54</v>
      </c>
      <c r="L288" s="26">
        <v>-0.02</v>
      </c>
      <c r="M288" s="27" t="str">
        <f>VLOOKUP(B288,Master_Mapper!$A$2:$C$628,3,0)</f>
        <v>South Street Partners (Charlotte)</v>
      </c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</row>
    <row r="289">
      <c r="A289" s="13" t="b">
        <v>0</v>
      </c>
      <c r="B289" s="14" t="s">
        <v>507</v>
      </c>
      <c r="C289" s="15" t="s">
        <v>38</v>
      </c>
      <c r="D289" s="13" t="str">
        <f>vlookup(B289,Vert_Mapper!$A$2:$C$567,3,0)</f>
        <v>Insurance &amp; InsurTech</v>
      </c>
      <c r="E289" s="13" t="s">
        <v>26</v>
      </c>
      <c r="F289" s="13" t="s">
        <v>18</v>
      </c>
      <c r="G289" s="13" t="str">
        <f t="shared" si="1"/>
        <v>DECLINING</v>
      </c>
      <c r="H289" s="13" t="s">
        <v>427</v>
      </c>
      <c r="I289" s="16">
        <f>IFERROR(__xludf.DUMMYFUNCTION("ROUND(
  MAX(
    MIN(
      (
        (VALUE(INDEX(SPLIT(K289,""-""),1)) + VALUE(INDEX(SPLIT(K289,""-""),2))) / 2
      ) *
      IFS(
        L289&gt;0.4, 1.6,
        L289&gt;0.1, 1.3,
        L289&gt;=-0.05, 1,
        L289&gt;=-0.2, 0.85,
        TRUE, 0.7
     "&amp;" ),
      VALUE(INDEX(SPLIT(K289,""-""),2))
    ),
    VALUE(INDEX(SPLIT(K289,""-""),1))
  )
)"),6.0)</f>
        <v>6</v>
      </c>
      <c r="J289" s="17">
        <f>I289*(VLOOKUP(C289,'Rev_Mapping Table'!$A$1:$C$12,3,0))</f>
        <v>5430000</v>
      </c>
      <c r="K289" s="30">
        <v>45698.0</v>
      </c>
      <c r="L289" s="18">
        <v>-0.05</v>
      </c>
      <c r="M289" s="19" t="str">
        <f>VLOOKUP(B289,Master_Mapper!$A$2:$C$628,3,0)</f>
        <v>Cerity Partners</v>
      </c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</row>
    <row r="290">
      <c r="A290" s="21" t="b">
        <v>0</v>
      </c>
      <c r="B290" s="31" t="s">
        <v>508</v>
      </c>
      <c r="C290" s="23" t="s">
        <v>46</v>
      </c>
      <c r="D290" s="21" t="str">
        <f>vlookup(B290,Vert_Mapper!$A$2:$C$567,3,0)</f>
        <v>Medical Devices &amp; Technology</v>
      </c>
      <c r="E290" s="21" t="s">
        <v>26</v>
      </c>
      <c r="F290" s="21" t="s">
        <v>18</v>
      </c>
      <c r="G290" s="21" t="str">
        <f t="shared" si="1"/>
        <v>FLAT TO NEUTRAL</v>
      </c>
      <c r="H290" s="21" t="s">
        <v>143</v>
      </c>
      <c r="I290" s="24">
        <f>IFERROR(__xludf.DUMMYFUNCTION("ROUND(
  MAX(
    MIN(
      (
        (VALUE(INDEX(SPLIT(K290,""-""),1)) + VALUE(INDEX(SPLIT(K290,""-""),2))) / 2
      ) *
      IFS(
        L290&gt;0.4, 1.6,
        L290&gt;0.1, 1.3,
        L290&gt;=-0.05, 1,
        L290&gt;=-0.2, 0.85,
        TRUE, 0.7
     "&amp;" ),
      VALUE(INDEX(SPLIT(K290,""-""),2))
    ),
    VALUE(INDEX(SPLIT(K290,""-""),1))
  )
)"),31.0)</f>
        <v>31</v>
      </c>
      <c r="J290" s="25">
        <f>I290*(VLOOKUP(C290,'Rev_Mapping Table'!$A$1:$C$12,3,0))</f>
        <v>17236000</v>
      </c>
      <c r="K290" s="24" t="s">
        <v>25</v>
      </c>
      <c r="L290" s="26">
        <v>0.0</v>
      </c>
      <c r="M290" s="27" t="str">
        <f>VLOOKUP(B290,Master_Mapper!$A$2:$C$628,3,0)</f>
        <v>Vibora Capital</v>
      </c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</row>
    <row r="291">
      <c r="A291" s="13" t="b">
        <v>0</v>
      </c>
      <c r="B291" s="14" t="s">
        <v>509</v>
      </c>
      <c r="C291" s="15" t="s">
        <v>38</v>
      </c>
      <c r="D291" s="13" t="str">
        <f>vlookup(B291,Vert_Mapper!$A$2:$C$567,3,0)</f>
        <v>Financial Technology &amp; Investment Services</v>
      </c>
      <c r="E291" s="13" t="s">
        <v>26</v>
      </c>
      <c r="F291" s="13" t="s">
        <v>18</v>
      </c>
      <c r="G291" s="13" t="str">
        <f t="shared" si="1"/>
        <v>DECLINING</v>
      </c>
      <c r="H291" s="13" t="s">
        <v>510</v>
      </c>
      <c r="I291" s="16">
        <f>IFERROR(__xludf.DUMMYFUNCTION("ROUND(
  MAX(
    MIN(
      (
        (VALUE(INDEX(SPLIT(K291,""-""),1)) + VALUE(INDEX(SPLIT(K291,""-""),2))) / 2
      ) *
      IFS(
        L291&gt;0.4, 1.6,
        L291&gt;0.1, 1.3,
        L291&gt;=-0.05, 1,
        L291&gt;=-0.2, 0.85,
        TRUE, 0.7
     "&amp;" ),
      VALUE(INDEX(SPLIT(K291,""-""),2))
    ),
    VALUE(INDEX(SPLIT(K291,""-""),1))
  )
)"),2550.0)</f>
        <v>2550</v>
      </c>
      <c r="J291" s="17">
        <f>I291*(VLOOKUP(C291,'Rev_Mapping Table'!$A$1:$C$12,3,0))</f>
        <v>2307750000</v>
      </c>
      <c r="K291" s="16" t="s">
        <v>277</v>
      </c>
      <c r="L291" s="18">
        <v>-0.17</v>
      </c>
      <c r="M291" s="19" t="str">
        <f>VLOOKUP(B291,Master_Mapper!$A$2:$C$628,3,0)</f>
        <v>Vibora Capital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</row>
    <row r="292">
      <c r="A292" s="21" t="b">
        <v>0</v>
      </c>
      <c r="B292" s="31" t="s">
        <v>511</v>
      </c>
      <c r="C292" s="23" t="s">
        <v>111</v>
      </c>
      <c r="D292" s="21" t="str">
        <f>vlookup(B292,Vert_Mapper!$A$2:$C$567,3,0)</f>
        <v>Food &amp; Beverage Manufacturing</v>
      </c>
      <c r="E292" s="21" t="s">
        <v>26</v>
      </c>
      <c r="F292" s="21" t="s">
        <v>18</v>
      </c>
      <c r="G292" s="21" t="str">
        <f t="shared" si="1"/>
        <v>GROWTH PHASE</v>
      </c>
      <c r="H292" s="21" t="s">
        <v>399</v>
      </c>
      <c r="I292" s="24">
        <f>IFERROR(__xludf.DUMMYFUNCTION("ROUND(
  MAX(
    MIN(
      (
        (VALUE(INDEX(SPLIT(K292,""-""),1)) + VALUE(INDEX(SPLIT(K292,""-""),2))) / 2
      ) *
      IFS(
        L292&gt;0.4, 1.6,
        L292&gt;0.1, 1.3,
        L292&gt;=-0.05, 1,
        L292&gt;=-0.2, 0.85,
        TRUE, 0.7
     "&amp;" ),
      VALUE(INDEX(SPLIT(K292,""-""),2))
    ),
    VALUE(INDEX(SPLIT(K292,""-""),1))
  )
)"),31.0)</f>
        <v>31</v>
      </c>
      <c r="J292" s="25">
        <f>I292*(VLOOKUP(C292,'Rev_Mapping Table'!$A$1:$C$12,3,0))</f>
        <v>17236000</v>
      </c>
      <c r="K292" s="24" t="s">
        <v>25</v>
      </c>
      <c r="L292" s="26">
        <v>0.1</v>
      </c>
      <c r="M292" s="27" t="str">
        <f>VLOOKUP(B292,Master_Mapper!$A$2:$C$628,3,0)</f>
        <v>Cerity Partners</v>
      </c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</row>
    <row r="293">
      <c r="A293" s="13" t="b">
        <v>0</v>
      </c>
      <c r="B293" s="14" t="s">
        <v>512</v>
      </c>
      <c r="C293" s="15" t="s">
        <v>111</v>
      </c>
      <c r="D293" s="13" t="str">
        <f>vlookup(B293,Vert_Mapper!$A$2:$C$567,3,0)</f>
        <v>Food &amp; Beverage Manufacturing</v>
      </c>
      <c r="E293" s="13" t="s">
        <v>26</v>
      </c>
      <c r="F293" s="13" t="s">
        <v>18</v>
      </c>
      <c r="G293" s="13" t="str">
        <f t="shared" si="1"/>
        <v>SEVERELY NEGATIVE</v>
      </c>
      <c r="H293" s="13" t="s">
        <v>24</v>
      </c>
      <c r="I293" s="16">
        <f>IFERROR(__xludf.DUMMYFUNCTION("ROUND(
  MAX(
    MIN(
      (
        (VALUE(INDEX(SPLIT(K293,""-""),1)) + VALUE(INDEX(SPLIT(K293,""-""),2))) / 2
      ) *
      IFS(
        L293&gt;0.4, 1.6,
        L293&gt;0.1, 1.3,
        L293&gt;=-0.05, 1,
        L293&gt;=-0.2, 0.85,
        TRUE, 0.7
     "&amp;" ),
      VALUE(INDEX(SPLIT(K293,""-""),2))
    ),
    VALUE(INDEX(SPLIT(K293,""-""),1))
  )
)"),4.0)</f>
        <v>4</v>
      </c>
      <c r="J293" s="17">
        <f>I293*(VLOOKUP(C293,'Rev_Mapping Table'!$A$1:$C$12,3,0))</f>
        <v>2224000</v>
      </c>
      <c r="K293" s="30">
        <v>45698.0</v>
      </c>
      <c r="L293" s="18">
        <v>-0.21</v>
      </c>
      <c r="M293" s="19" t="str">
        <f>VLOOKUP(B293,Master_Mapper!$A$2:$C$628,3,0)</f>
        <v>Vibora Capital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</row>
    <row r="294">
      <c r="A294" s="21" t="b">
        <v>0</v>
      </c>
      <c r="B294" s="31" t="s">
        <v>513</v>
      </c>
      <c r="C294" s="23" t="s">
        <v>46</v>
      </c>
      <c r="D294" s="21" t="str">
        <f>vlookup(B294,Vert_Mapper!$A$2:$C$567,3,0)</f>
        <v>Medical Devices &amp; Technology</v>
      </c>
      <c r="E294" s="21" t="s">
        <v>138</v>
      </c>
      <c r="F294" s="21" t="s">
        <v>18</v>
      </c>
      <c r="G294" s="21" t="str">
        <f t="shared" si="1"/>
        <v>GROWTH PHASE</v>
      </c>
      <c r="H294" s="21" t="s">
        <v>514</v>
      </c>
      <c r="I294" s="24">
        <f>IFERROR(__xludf.DUMMYFUNCTION("ROUND(
  MAX(
    MIN(
      (
        (VALUE(INDEX(SPLIT(K294,""-""),1)) + VALUE(INDEX(SPLIT(K294,""-""),2))) / 2
      ) *
      IFS(
        L294&gt;0.4, 1.6,
        L294&gt;0.1, 1.3,
        L294&gt;=-0.05, 1,
        L294&gt;=-0.2, 0.85,
        TRUE, 0.7
     "&amp;" ),
      VALUE(INDEX(SPLIT(K294,""-""),2))
    ),
    VALUE(INDEX(SPLIT(K294,""-""),1))
  )
)"),31.0)</f>
        <v>31</v>
      </c>
      <c r="J294" s="25">
        <f>I294*(VLOOKUP(C294,'Rev_Mapping Table'!$A$1:$C$12,3,0))</f>
        <v>17236000</v>
      </c>
      <c r="K294" s="24" t="s">
        <v>25</v>
      </c>
      <c r="L294" s="26">
        <v>0.06</v>
      </c>
      <c r="M294" s="27" t="str">
        <f>VLOOKUP(B294,Master_Mapper!$A$2:$C$628,3,0)</f>
        <v>Vibora Capital</v>
      </c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</row>
    <row r="295">
      <c r="A295" s="13" t="b">
        <v>0</v>
      </c>
      <c r="B295" s="14" t="s">
        <v>515</v>
      </c>
      <c r="C295" s="15" t="s">
        <v>64</v>
      </c>
      <c r="D295" s="13" t="str">
        <f>vlookup(B295,Vert_Mapper!$A$2:$C$567,3,0)</f>
        <v>Building Materials &amp; Construction</v>
      </c>
      <c r="E295" s="13" t="s">
        <v>516</v>
      </c>
      <c r="F295" s="13" t="s">
        <v>18</v>
      </c>
      <c r="G295" s="13" t="str">
        <f t="shared" si="1"/>
        <v>GROWTH PHASE</v>
      </c>
      <c r="H295" s="13" t="s">
        <v>57</v>
      </c>
      <c r="I295" s="16">
        <f>IFERROR(__xludf.DUMMYFUNCTION("ROUND(
  MAX(
    MIN(
      (
        (VALUE(INDEX(SPLIT(K295,""-""),1)) + VALUE(INDEX(SPLIT(K295,""-""),2))) / 2
      ) *
      IFS(
        L295&gt;0.4, 1.6,
        L295&gt;0.1, 1.3,
        L295&gt;=-0.05, 1,
        L295&gt;=-0.2, 0.85,
        TRUE, 0.7
     "&amp;" ),
      VALUE(INDEX(SPLIT(K295,""-""),2))
    ),
    VALUE(INDEX(SPLIT(K295,""-""),1))
  )
)"),163.0)</f>
        <v>163</v>
      </c>
      <c r="J295" s="17">
        <f>I295*(VLOOKUP(C295,'Rev_Mapping Table'!$A$1:$C$12,3,0))</f>
        <v>80359000</v>
      </c>
      <c r="K295" s="16" t="s">
        <v>32</v>
      </c>
      <c r="L295" s="18">
        <v>0.17</v>
      </c>
      <c r="M295" s="19" t="str">
        <f>VLOOKUP(B295,Master_Mapper!$A$2:$C$628,3,0)</f>
        <v>Azalea Capital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</row>
    <row r="296">
      <c r="A296" s="21" t="b">
        <v>0</v>
      </c>
      <c r="B296" s="31" t="s">
        <v>517</v>
      </c>
      <c r="C296" s="23" t="s">
        <v>42</v>
      </c>
      <c r="D296" s="21" t="str">
        <f>vlookup(B296,Vert_Mapper!$A$2:$C$567,3,0)</f>
        <v>Property Management &amp; Services</v>
      </c>
      <c r="E296" s="21" t="s">
        <v>26</v>
      </c>
      <c r="F296" s="21" t="s">
        <v>18</v>
      </c>
      <c r="G296" s="21" t="str">
        <f t="shared" si="1"/>
        <v>DECLINING</v>
      </c>
      <c r="H296" s="21" t="s">
        <v>518</v>
      </c>
      <c r="I296" s="24">
        <f>IFERROR(__xludf.DUMMYFUNCTION("ROUND(
  MAX(
    MIN(
      (
        (VALUE(INDEX(SPLIT(K296,""-""),1)) + VALUE(INDEX(SPLIT(K296,""-""),2))) / 2
      ) *
      IFS(
        L296&gt;0.4, 1.6,
        L296&gt;0.1, 1.3,
        L296&gt;=-0.05, 1,
        L296&gt;=-0.2, 0.85,
        TRUE, 0.7
     "&amp;" ),
      VALUE(INDEX(SPLIT(K296,""-""),2))
    ),
    VALUE(INDEX(SPLIT(K296,""-""),1))
  )
)"),126.0)</f>
        <v>126</v>
      </c>
      <c r="J296" s="25">
        <f>I296*(VLOOKUP(C296,'Rev_Mapping Table'!$A$1:$C$12,3,0))</f>
        <v>57960000</v>
      </c>
      <c r="K296" s="24" t="s">
        <v>32</v>
      </c>
      <c r="L296" s="26">
        <v>-0.04</v>
      </c>
      <c r="M296" s="27" t="str">
        <f>VLOOKUP(B296,Master_Mapper!$A$2:$C$628,3,0)</f>
        <v>Cerity Partners</v>
      </c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</row>
    <row r="297">
      <c r="A297" s="13" t="b">
        <v>0</v>
      </c>
      <c r="B297" s="14" t="s">
        <v>519</v>
      </c>
      <c r="C297" s="13" t="str">
        <f>vlookup(B297,Vert_Mapper!$A$2:$C$567,2,0)</f>
        <v>Information Technology</v>
      </c>
      <c r="D297" s="13" t="str">
        <f>vlookup(B297,Vert_Mapper!$A$2:$C$567,3,0)</f>
        <v>Legal Technology</v>
      </c>
      <c r="E297" s="13" t="s">
        <v>26</v>
      </c>
      <c r="F297" s="13" t="s">
        <v>18</v>
      </c>
      <c r="G297" s="13" t="str">
        <f t="shared" si="1"/>
        <v>FLAT TO NEUTRAL</v>
      </c>
      <c r="H297" s="13" t="s">
        <v>83</v>
      </c>
      <c r="I297" s="16">
        <f>IFERROR(__xludf.DUMMYFUNCTION("ROUND(
  MAX(
    MIN(
      (
        (VALUE(INDEX(SPLIT(K297,""-""),1)) + VALUE(INDEX(SPLIT(K297,""-""),2))) / 2
      ) *
      IFS(
        L297&gt;0.4, 1.6,
        L297&gt;0.1, 1.3,
        L297&gt;=-0.05, 1,
        L297&gt;=-0.2, 0.85,
        TRUE, 0.7
     "&amp;" ),
      VALUE(INDEX(SPLIT(K297,""-""),2))
    ),
    VALUE(INDEX(SPLIT(K297,""-""),1))
  )
)"),126.0)</f>
        <v>126</v>
      </c>
      <c r="J297" s="17">
        <f>I297*(VLOOKUP(C297,'Rev_Mapping Table'!$A$1:$C$12,3,0))</f>
        <v>71064000</v>
      </c>
      <c r="K297" s="16" t="s">
        <v>32</v>
      </c>
      <c r="L297" s="18">
        <v>0.0</v>
      </c>
      <c r="M297" s="19" t="str">
        <f>VLOOKUP(B297,Master_Mapper!$A$2:$C$628,3,0)</f>
        <v>Cerity Partners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</row>
    <row r="298">
      <c r="A298" s="21" t="b">
        <v>0</v>
      </c>
      <c r="B298" s="31" t="s">
        <v>520</v>
      </c>
      <c r="C298" s="21" t="str">
        <f>vlookup(B298,Vert_Mapper!$A$2:$C$567,2,0)</f>
        <v>Information Technology</v>
      </c>
      <c r="D298" s="21" t="str">
        <f>vlookup(B298,Vert_Mapper!$A$2:$C$567,3,0)</f>
        <v>Software &amp; SaaS</v>
      </c>
      <c r="E298" s="21" t="s">
        <v>26</v>
      </c>
      <c r="F298" s="21" t="s">
        <v>18</v>
      </c>
      <c r="G298" s="21" t="str">
        <f t="shared" si="1"/>
        <v>DECLINING</v>
      </c>
      <c r="H298" s="21" t="s">
        <v>521</v>
      </c>
      <c r="I298" s="24">
        <f>IFERROR(__xludf.DUMMYFUNCTION("ROUND(
  MAX(
    MIN(
      (
        (VALUE(INDEX(SPLIT(K298,""-""),1)) + VALUE(INDEX(SPLIT(K298,""-""),2))) / 2
      ) *
      IFS(
        L298&gt;0.4, 1.6,
        L298&gt;0.1, 1.3,
        L298&gt;=-0.05, 1,
        L298&gt;=-0.2, 0.85,
        TRUE, 0.7
     "&amp;" ),
      VALUE(INDEX(SPLIT(K298,""-""),2))
    ),
    VALUE(INDEX(SPLIT(K298,""-""),1))
  )
)"),107.0)</f>
        <v>107</v>
      </c>
      <c r="J298" s="25">
        <f>I298*(VLOOKUP(C298,'Rev_Mapping Table'!$A$1:$C$12,3,0))</f>
        <v>60348000</v>
      </c>
      <c r="K298" s="24" t="s">
        <v>32</v>
      </c>
      <c r="L298" s="26">
        <v>-0.06</v>
      </c>
      <c r="M298" s="27" t="str">
        <f>VLOOKUP(B298,Master_Mapper!$A$2:$C$628,3,0)</f>
        <v>Summit Park</v>
      </c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</row>
    <row r="299">
      <c r="A299" s="13" t="b">
        <v>0</v>
      </c>
      <c r="B299" s="14" t="s">
        <v>522</v>
      </c>
      <c r="C299" s="13" t="str">
        <f>vlookup(B299,Vert_Mapper!$A$2:$C$567,2,0)</f>
        <v>Information Technology</v>
      </c>
      <c r="D299" s="13" t="str">
        <f>vlookup(B299,Vert_Mapper!$A$2:$C$567,3,0)</f>
        <v>Software &amp; SaaS</v>
      </c>
      <c r="E299" s="13" t="s">
        <v>65</v>
      </c>
      <c r="F299" s="13" t="s">
        <v>18</v>
      </c>
      <c r="G299" s="13" t="str">
        <f t="shared" si="1"/>
        <v>DECLINING</v>
      </c>
      <c r="H299" s="13" t="s">
        <v>73</v>
      </c>
      <c r="I299" s="16">
        <f>IFERROR(__xludf.DUMMYFUNCTION("ROUND(
  MAX(
    MIN(
      (
        (VALUE(INDEX(SPLIT(K299,""-""),1)) + VALUE(INDEX(SPLIT(K299,""-""),2))) / 2
      ) *
      IFS(
        L299&gt;0.4, 1.6,
        L299&gt;0.1, 1.3,
        L299&gt;=-0.05, 1,
        L299&gt;=-0.2, 0.85,
        TRUE, 0.7
     "&amp;" ),
      VALUE(INDEX(SPLIT(K299,""-""),2))
    ),
    VALUE(INDEX(SPLIT(K299,""-""),1))
  )
)"),26.0)</f>
        <v>26</v>
      </c>
      <c r="J299" s="17">
        <f>I299*(VLOOKUP(C299,'Rev_Mapping Table'!$A$1:$C$12,3,0))</f>
        <v>14664000</v>
      </c>
      <c r="K299" s="16" t="s">
        <v>25</v>
      </c>
      <c r="L299" s="18">
        <v>-0.19</v>
      </c>
      <c r="M299" s="19" t="str">
        <f>VLOOKUP(B299,Master_Mapper!$A$2:$C$628,3,0)</f>
        <v>Carousel Capital</v>
      </c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</row>
    <row r="300">
      <c r="A300" s="21" t="b">
        <v>0</v>
      </c>
      <c r="B300" s="31" t="s">
        <v>523</v>
      </c>
      <c r="C300" s="21" t="str">
        <f>vlookup(B300,Vert_Mapper!$A$2:$C$567,2,0)</f>
        <v>Real Estate</v>
      </c>
      <c r="D300" s="21" t="str">
        <f>vlookup(B300,Vert_Mapper!$A$2:$C$567,3,0)</f>
        <v>Real Estate Services</v>
      </c>
      <c r="E300" s="21" t="s">
        <v>26</v>
      </c>
      <c r="F300" s="21" t="s">
        <v>18</v>
      </c>
      <c r="G300" s="21" t="str">
        <f t="shared" si="1"/>
        <v>GROWTH PHASE</v>
      </c>
      <c r="H300" s="21" t="s">
        <v>375</v>
      </c>
      <c r="I300" s="24">
        <f>IFERROR(__xludf.DUMMYFUNCTION("ROUND(
  MAX(
    MIN(
      (
        (VALUE(INDEX(SPLIT(K300,""-""),1)) + VALUE(INDEX(SPLIT(K300,""-""),2))) / 2
      ) *
      IFS(
        L300&gt;0.4, 1.6,
        L300&gt;0.1, 1.3,
        L300&gt;=-0.05, 1,
        L300&gt;=-0.2, 0.85,
        TRUE, 0.7
     "&amp;" ),
      VALUE(INDEX(SPLIT(K300,""-""),2))
    ),
    VALUE(INDEX(SPLIT(K300,""-""),1))
  )
)"),751.0)</f>
        <v>751</v>
      </c>
      <c r="J300" s="25">
        <f>I300*(VLOOKUP(C300,'Rev_Mapping Table'!$A$1:$C$12,3,0))</f>
        <v>345460000</v>
      </c>
      <c r="K300" s="24" t="s">
        <v>54</v>
      </c>
      <c r="L300" s="26">
        <v>0.05</v>
      </c>
      <c r="M300" s="27" t="str">
        <f>VLOOKUP(B300,Master_Mapper!$A$2:$C$628,3,0)</f>
        <v>South Street Partners (Charlotte)</v>
      </c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</row>
    <row r="301">
      <c r="A301" s="13" t="b">
        <v>0</v>
      </c>
      <c r="B301" s="14" t="s">
        <v>524</v>
      </c>
      <c r="C301" s="13" t="str">
        <f>vlookup(B301,Vert_Mapper!$A$2:$C$567,2,0)</f>
        <v>Financials</v>
      </c>
      <c r="D301" s="13" t="str">
        <f>vlookup(B301,Vert_Mapper!$A$2:$C$567,3,0)</f>
        <v>Venture Capital &amp; Private Equity</v>
      </c>
      <c r="E301" s="13" t="s">
        <v>79</v>
      </c>
      <c r="F301" s="13" t="s">
        <v>18</v>
      </c>
      <c r="G301" s="13" t="str">
        <f t="shared" si="1"/>
        <v>HYPERGROWTH</v>
      </c>
      <c r="H301" s="13" t="s">
        <v>131</v>
      </c>
      <c r="I301" s="16" t="str">
        <f>IFERROR(__xludf.DUMMYFUNCTION("ROUND(
  MAX(
    MIN(
      (
        (VALUE(INDEX(SPLIT(K301,""-""),1)) + VALUE(INDEX(SPLIT(K301,""-""),2))) / 2
      ) *
      IFS(
        L301&gt;0.4, 1.6,
        L301&gt;0.1, 1.3,
        L301&gt;=-0.05, 1,
        L301&gt;=-0.2, 0.85,
        TRUE, 0.7
     "&amp;" ),
      VALUE(INDEX(SPLIT(K301,""-""),2))
    ),
    VALUE(INDEX(SPLIT(K301,""-""),1))
  )
)"),"#VALUE!")</f>
        <v>#VALUE!</v>
      </c>
      <c r="J301" s="17" t="str">
        <f>I301*(VLOOKUP(C301,'Rev_Mapping Table'!$A$1:$C$12,3,0))</f>
        <v>#VALUE!</v>
      </c>
      <c r="K301" s="33" t="s">
        <v>131</v>
      </c>
      <c r="L301" s="33" t="s">
        <v>131</v>
      </c>
      <c r="M301" s="19" t="str">
        <f>VLOOKUP(B301,Master_Mapper!$A$2:$C$628,3,0)</f>
        <v>Tidewater Equity Partners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</row>
    <row r="302">
      <c r="A302" s="21" t="b">
        <v>0</v>
      </c>
      <c r="B302" s="31" t="s">
        <v>525</v>
      </c>
      <c r="C302" s="21" t="str">
        <f>vlookup(B302,Vert_Mapper!$A$2:$C$567,2,0)</f>
        <v>Communications</v>
      </c>
      <c r="D302" s="21" t="str">
        <f>vlookup(B302,Vert_Mapper!$A$2:$C$567,3,0)</f>
        <v>Marketing &amp; Advertising</v>
      </c>
      <c r="E302" s="21" t="s">
        <v>26</v>
      </c>
      <c r="F302" s="21" t="s">
        <v>18</v>
      </c>
      <c r="G302" s="21" t="str">
        <f t="shared" si="1"/>
        <v>ACCELERATED GROWTH</v>
      </c>
      <c r="H302" s="21" t="s">
        <v>526</v>
      </c>
      <c r="I302" s="24">
        <f>IFERROR(__xludf.DUMMYFUNCTION("ROUND(
  MAX(
    MIN(
      (
        (VALUE(INDEX(SPLIT(K302,""-""),1)) + VALUE(INDEX(SPLIT(K302,""-""),2))) / 2
      ) *
      IFS(
        L302&gt;0.4, 1.6,
        L302&gt;0.1, 1.3,
        L302&gt;=-0.05, 1,
        L302&gt;=-0.2, 0.85,
        TRUE, 0.7
     "&amp;" ),
      VALUE(INDEX(SPLIT(K302,""-""),2))
    ),
    VALUE(INDEX(SPLIT(K302,""-""),1))
  )
)"),40.0)</f>
        <v>40</v>
      </c>
      <c r="J302" s="25">
        <f>I302*(VLOOKUP(C302,'Rev_Mapping Table'!$A$1:$C$12,3,0))</f>
        <v>22560000</v>
      </c>
      <c r="K302" s="24" t="s">
        <v>25</v>
      </c>
      <c r="L302" s="26">
        <v>0.25</v>
      </c>
      <c r="M302" s="27" t="str">
        <f>VLOOKUP(B302,Master_Mapper!$A$2:$C$628,3,0)</f>
        <v>Route 2 Capital Partners</v>
      </c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</row>
    <row r="303">
      <c r="A303" s="13" t="b">
        <v>0</v>
      </c>
      <c r="B303" s="14" t="s">
        <v>527</v>
      </c>
      <c r="C303" s="13" t="str">
        <f>vlookup(B303,Vert_Mapper!$A$2:$C$567,2,0)</f>
        <v>Information Technology</v>
      </c>
      <c r="D303" s="13" t="str">
        <f>vlookup(B303,Vert_Mapper!$A$2:$C$567,3,0)</f>
        <v>Legal Technology</v>
      </c>
      <c r="E303" s="13" t="s">
        <v>26</v>
      </c>
      <c r="F303" s="13" t="s">
        <v>18</v>
      </c>
      <c r="G303" s="13" t="str">
        <f t="shared" si="1"/>
        <v>GROWTH PHASE</v>
      </c>
      <c r="H303" s="13" t="s">
        <v>301</v>
      </c>
      <c r="I303" s="16">
        <f>IFERROR(__xludf.DUMMYFUNCTION("ROUND(
  MAX(
    MIN(
      (
        (VALUE(INDEX(SPLIT(K303,""-""),1)) + VALUE(INDEX(SPLIT(K303,""-""),2))) / 2
      ) *
      IFS(
        L303&gt;0.4, 1.6,
        L303&gt;0.1, 1.3,
        L303&gt;=-0.05, 1,
        L303&gt;=-0.2, 0.85,
        TRUE, 0.7
     "&amp;" ),
      VALUE(INDEX(SPLIT(K303,""-""),2))
    ),
    VALUE(INDEX(SPLIT(K303,""-""),1))
  )
)"),751.0)</f>
        <v>751</v>
      </c>
      <c r="J303" s="17">
        <f>I303*(VLOOKUP(C303,'Rev_Mapping Table'!$A$1:$C$12,3,0))</f>
        <v>423564000</v>
      </c>
      <c r="K303" s="16" t="s">
        <v>54</v>
      </c>
      <c r="L303" s="18">
        <v>0.04</v>
      </c>
      <c r="M303" s="19" t="str">
        <f>VLOOKUP(B303,Master_Mapper!$A$2:$C$628,3,0)</f>
        <v>QHP Capital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</row>
    <row r="304">
      <c r="A304" s="21" t="b">
        <v>0</v>
      </c>
      <c r="B304" s="31" t="s">
        <v>528</v>
      </c>
      <c r="C304" s="21" t="str">
        <f>vlookup(B304,Vert_Mapper!$A$2:$C$567,2,0)</f>
        <v>Consumer Discretionary</v>
      </c>
      <c r="D304" s="21" t="str">
        <f>vlookup(B304,Vert_Mapper!$A$2:$C$567,3,0)</f>
        <v>Consumer Products</v>
      </c>
      <c r="E304" s="21" t="s">
        <v>26</v>
      </c>
      <c r="F304" s="21" t="s">
        <v>18</v>
      </c>
      <c r="G304" s="21" t="str">
        <f t="shared" si="1"/>
        <v>DECLINING</v>
      </c>
      <c r="H304" s="21" t="s">
        <v>529</v>
      </c>
      <c r="I304" s="24">
        <f>IFERROR(__xludf.DUMMYFUNCTION("ROUND(
  MAX(
    MIN(
      (
        (VALUE(INDEX(SPLIT(K304,""-""),1)) + VALUE(INDEX(SPLIT(K304,""-""),2))) / 2
      ) *
      IFS(
        L304&gt;0.4, 1.6,
        L304&gt;0.1, 1.3,
        L304&gt;=-0.05, 1,
        L304&gt;=-0.2, 0.85,
        TRUE, 0.7
     "&amp;" ),
      VALUE(INDEX(SPLIT(K304,""-""),2))
    ),
    VALUE(INDEX(SPLIT(K304,""-""),1))
  )
)"),351.0)</f>
        <v>351</v>
      </c>
      <c r="J304" s="25">
        <f>I304*(VLOOKUP(C304,'Rev_Mapping Table'!$A$1:$C$12,3,0))</f>
        <v>179712000</v>
      </c>
      <c r="K304" s="24" t="s">
        <v>20</v>
      </c>
      <c r="L304" s="26">
        <v>-0.01</v>
      </c>
      <c r="M304" s="27" t="str">
        <f>VLOOKUP(B304,Master_Mapper!$A$2:$C$628,3,0)</f>
        <v>Monomoy Capital Partners</v>
      </c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</row>
    <row r="305">
      <c r="A305" s="13" t="b">
        <v>0</v>
      </c>
      <c r="B305" s="14" t="s">
        <v>530</v>
      </c>
      <c r="C305" s="13" t="str">
        <f>vlookup(B305,Vert_Mapper!$A$2:$C$567,2,0)</f>
        <v>Information Technology</v>
      </c>
      <c r="D305" s="13" t="str">
        <f>vlookup(B305,Vert_Mapper!$A$2:$C$567,3,0)</f>
        <v>Legal Technology</v>
      </c>
      <c r="E305" s="13" t="s">
        <v>26</v>
      </c>
      <c r="F305" s="13" t="s">
        <v>18</v>
      </c>
      <c r="G305" s="13" t="str">
        <f t="shared" si="1"/>
        <v>DECLINING</v>
      </c>
      <c r="H305" s="13" t="s">
        <v>317</v>
      </c>
      <c r="I305" s="16">
        <f>IFERROR(__xludf.DUMMYFUNCTION("ROUND(
  MAX(
    MIN(
      (
        (VALUE(INDEX(SPLIT(K305,""-""),1)) + VALUE(INDEX(SPLIT(K305,""-""),2))) / 2
      ) *
      IFS(
        L305&gt;0.4, 1.6,
        L305&gt;0.1, 1.3,
        L305&gt;=-0.05, 1,
        L305&gt;=-0.2, 0.85,
        TRUE, 0.7
     "&amp;" ),
      VALUE(INDEX(SPLIT(K305,""-""),2))
    ),
    VALUE(INDEX(SPLIT(K305,""-""),1))
  )
)"),298.0)</f>
        <v>298</v>
      </c>
      <c r="J305" s="17">
        <f>I305*(VLOOKUP(C305,'Rev_Mapping Table'!$A$1:$C$12,3,0))</f>
        <v>168072000</v>
      </c>
      <c r="K305" s="16" t="s">
        <v>20</v>
      </c>
      <c r="L305" s="18">
        <v>-0.08</v>
      </c>
      <c r="M305" s="19" t="str">
        <f>VLOOKUP(B305,Master_Mapper!$A$2:$C$628,3,0)</f>
        <v>Cerity Partners</v>
      </c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</row>
    <row r="306">
      <c r="A306" s="21" t="b">
        <v>0</v>
      </c>
      <c r="B306" s="31" t="s">
        <v>531</v>
      </c>
      <c r="C306" s="21" t="str">
        <f>vlookup(B306,Vert_Mapper!$A$2:$C$567,2,0)</f>
        <v>Consumer Staples</v>
      </c>
      <c r="D306" s="21" t="str">
        <f>vlookup(B306,Vert_Mapper!$A$2:$C$567,3,0)</f>
        <v>Food &amp; Beverage Manufacturing</v>
      </c>
      <c r="E306" s="21" t="s">
        <v>26</v>
      </c>
      <c r="F306" s="21" t="s">
        <v>18</v>
      </c>
      <c r="G306" s="21" t="str">
        <f t="shared" si="1"/>
        <v>GROWTH PHASE</v>
      </c>
      <c r="H306" s="21" t="s">
        <v>167</v>
      </c>
      <c r="I306" s="24">
        <f>IFERROR(__xludf.DUMMYFUNCTION("ROUND(
  MAX(
    MIN(
      (
        (VALUE(INDEX(SPLIT(K306,""-""),1)) + VALUE(INDEX(SPLIT(K306,""-""),2))) / 2
      ) *
      IFS(
        L306&gt;0.4, 1.6,
        L306&gt;0.1, 1.3,
        L306&gt;=-0.05, 1,
        L306&gt;=-0.2, 0.85,
        TRUE, 0.7
     "&amp;" ),
      VALUE(INDEX(SPLIT(K306,""-""),2))
    ),
    VALUE(INDEX(SPLIT(K306,""-""),1))
  )
)"),351.0)</f>
        <v>351</v>
      </c>
      <c r="J306" s="25">
        <f>I306*(VLOOKUP(C306,'Rev_Mapping Table'!$A$1:$C$12,3,0))</f>
        <v>195156000</v>
      </c>
      <c r="K306" s="24" t="s">
        <v>20</v>
      </c>
      <c r="L306" s="26">
        <v>0.1</v>
      </c>
      <c r="M306" s="27" t="str">
        <f>VLOOKUP(B306,Master_Mapper!$A$2:$C$628,3,0)</f>
        <v>Vibora Capital</v>
      </c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</row>
    <row r="307">
      <c r="A307" s="13" t="b">
        <v>0</v>
      </c>
      <c r="B307" s="14" t="s">
        <v>532</v>
      </c>
      <c r="C307" s="13" t="str">
        <f>vlookup(B307,Vert_Mapper!$A$2:$C$567,2,0)</f>
        <v>Consumer Discretionary</v>
      </c>
      <c r="D307" s="13" t="str">
        <f>vlookup(B307,Vert_Mapper!$A$2:$C$567,3,0)</f>
        <v>Travel &amp; Hospitality Services</v>
      </c>
      <c r="E307" s="13" t="s">
        <v>26</v>
      </c>
      <c r="F307" s="13" t="s">
        <v>18</v>
      </c>
      <c r="G307" s="13" t="str">
        <f t="shared" si="1"/>
        <v>HYPERGROWTH</v>
      </c>
      <c r="H307" s="13" t="s">
        <v>131</v>
      </c>
      <c r="I307" s="16" t="str">
        <f>IFERROR(__xludf.DUMMYFUNCTION("ROUND(
  MAX(
    MIN(
      (
        (VALUE(INDEX(SPLIT(K307,""-""),1)) + VALUE(INDEX(SPLIT(K307,""-""),2))) / 2
      ) *
      IFS(
        L307&gt;0.4, 1.6,
        L307&gt;0.1, 1.3,
        L307&gt;=-0.05, 1,
        L307&gt;=-0.2, 0.85,
        TRUE, 0.7
     "&amp;" ),
      VALUE(INDEX(SPLIT(K307,""-""),2))
    ),
    VALUE(INDEX(SPLIT(K307,""-""),1))
  )
)"),"#VALUE!")</f>
        <v>#VALUE!</v>
      </c>
      <c r="J307" s="17" t="str">
        <f>I307*(VLOOKUP(C307,'Rev_Mapping Table'!$A$1:$C$12,3,0))</f>
        <v>#VALUE!</v>
      </c>
      <c r="K307" s="33" t="s">
        <v>131</v>
      </c>
      <c r="L307" s="33" t="s">
        <v>131</v>
      </c>
      <c r="M307" s="19" t="str">
        <f>VLOOKUP(B307,Master_Mapper!$A$2:$C$628,3,0)</f>
        <v>Hargett Hunter</v>
      </c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</row>
    <row r="308">
      <c r="A308" s="21" t="b">
        <v>0</v>
      </c>
      <c r="B308" s="31" t="s">
        <v>533</v>
      </c>
      <c r="C308" s="21" t="str">
        <f>vlookup(B308,Vert_Mapper!$A$2:$C$567,2,0)</f>
        <v>Consumer Staples</v>
      </c>
      <c r="D308" s="21" t="str">
        <f>vlookup(B308,Vert_Mapper!$A$2:$C$567,3,0)</f>
        <v>Food &amp; Beverage Manufacturing</v>
      </c>
      <c r="E308" s="21" t="s">
        <v>26</v>
      </c>
      <c r="F308" s="21" t="s">
        <v>18</v>
      </c>
      <c r="G308" s="21" t="str">
        <f t="shared" si="1"/>
        <v>DECLINING</v>
      </c>
      <c r="H308" s="21" t="s">
        <v>365</v>
      </c>
      <c r="I308" s="24">
        <f>IFERROR(__xludf.DUMMYFUNCTION("ROUND(
  MAX(
    MIN(
      (
        (VALUE(INDEX(SPLIT(K308,""-""),1)) + VALUE(INDEX(SPLIT(K308,""-""),2))) / 2
      ) *
      IFS(
        L308&gt;0.4, 1.6,
        L308&gt;0.1, 1.3,
        L308&gt;=-0.05, 1,
        L308&gt;=-0.2, 0.85,
        TRUE, 0.7
     "&amp;" ),
      VALUE(INDEX(SPLIT(K308,""-""),2))
    ),
    VALUE(INDEX(SPLIT(K308,""-""),1))
  )
)"),31.0)</f>
        <v>31</v>
      </c>
      <c r="J308" s="25">
        <f>I308*(VLOOKUP(C308,'Rev_Mapping Table'!$A$1:$C$12,3,0))</f>
        <v>17236000</v>
      </c>
      <c r="K308" s="24" t="s">
        <v>25</v>
      </c>
      <c r="L308" s="26">
        <v>-0.04</v>
      </c>
      <c r="M308" s="27" t="str">
        <f>VLOOKUP(B308,Master_Mapper!$A$2:$C$628,3,0)</f>
        <v>Falfurrias Capital Partners</v>
      </c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</row>
    <row r="309">
      <c r="A309" s="13" t="b">
        <v>0</v>
      </c>
      <c r="B309" s="14" t="s">
        <v>534</v>
      </c>
      <c r="C309" s="13" t="str">
        <f>vlookup(B309,Vert_Mapper!$A$2:$C$567,2,0)</f>
        <v>Materials</v>
      </c>
      <c r="D309" s="13" t="str">
        <f>vlookup(B309,Vert_Mapper!$A$2:$C$567,3,0)</f>
        <v>Agriculture Technology</v>
      </c>
      <c r="E309" s="13" t="s">
        <v>516</v>
      </c>
      <c r="F309" s="13" t="s">
        <v>18</v>
      </c>
      <c r="G309" s="13" t="str">
        <f t="shared" si="1"/>
        <v>HYPERGROWTH</v>
      </c>
      <c r="H309" s="13" t="s">
        <v>131</v>
      </c>
      <c r="I309" s="16" t="str">
        <f>IFERROR(__xludf.DUMMYFUNCTION("ROUND(
  MAX(
    MIN(
      (
        (VALUE(INDEX(SPLIT(K309,""-""),1)) + VALUE(INDEX(SPLIT(K309,""-""),2))) / 2
      ) *
      IFS(
        L309&gt;0.4, 1.6,
        L309&gt;0.1, 1.3,
        L309&gt;=-0.05, 1,
        L309&gt;=-0.2, 0.85,
        TRUE, 0.7
     "&amp;" ),
      VALUE(INDEX(SPLIT(K309,""-""),2))
    ),
    VALUE(INDEX(SPLIT(K309,""-""),1))
  )
)"),"#VALUE!")</f>
        <v>#VALUE!</v>
      </c>
      <c r="J309" s="17" t="str">
        <f>I309*(VLOOKUP(C309,'Rev_Mapping Table'!$A$1:$C$12,3,0))</f>
        <v>#VALUE!</v>
      </c>
      <c r="K309" s="33" t="s">
        <v>131</v>
      </c>
      <c r="L309" s="33" t="s">
        <v>131</v>
      </c>
      <c r="M309" s="19" t="str">
        <f>VLOOKUP(B309,Master_Mapper!$A$2:$C$628,3,0)</f>
        <v>Azalea Capital</v>
      </c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</row>
    <row r="310">
      <c r="A310" s="21" t="b">
        <v>0</v>
      </c>
      <c r="B310" s="31" t="s">
        <v>535</v>
      </c>
      <c r="C310" s="21" t="str">
        <f>vlookup(B310,Vert_Mapper!$A$2:$C$567,2,0)</f>
        <v>Healthcare</v>
      </c>
      <c r="D310" s="21" t="str">
        <f>vlookup(B310,Vert_Mapper!$A$2:$C$567,3,0)</f>
        <v>Healthcare Technology &amp; Analytics</v>
      </c>
      <c r="E310" s="21" t="s">
        <v>26</v>
      </c>
      <c r="F310" s="21" t="s">
        <v>18</v>
      </c>
      <c r="G310" s="21" t="str">
        <f t="shared" si="1"/>
        <v>GROWTH PHASE</v>
      </c>
      <c r="H310" s="21" t="s">
        <v>151</v>
      </c>
      <c r="I310" s="24">
        <f>IFERROR(__xludf.DUMMYFUNCTION("ROUND(
  MAX(
    MIN(
      (
        (VALUE(INDEX(SPLIT(K310,""-""),1)) + VALUE(INDEX(SPLIT(K310,""-""),2))) / 2
      ) *
      IFS(
        L310&gt;0.4, 1.6,
        L310&gt;0.1, 1.3,
        L310&gt;=-0.05, 1,
        L310&gt;=-0.2, 0.85,
        TRUE, 0.7
     "&amp;" ),
      VALUE(INDEX(SPLIT(K310,""-""),2))
    ),
    VALUE(INDEX(SPLIT(K310,""-""),1))
  )
)"),456.0)</f>
        <v>456</v>
      </c>
      <c r="J310" s="25">
        <f>I310*(VLOOKUP(C310,'Rev_Mapping Table'!$A$1:$C$12,3,0))</f>
        <v>253536000</v>
      </c>
      <c r="K310" s="24" t="s">
        <v>20</v>
      </c>
      <c r="L310" s="26">
        <v>0.19</v>
      </c>
      <c r="M310" s="27" t="str">
        <f>VLOOKUP(B310,Master_Mapper!$A$2:$C$628,3,0)</f>
        <v>Harbright Ventures</v>
      </c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</row>
    <row r="311">
      <c r="A311" s="13" t="b">
        <v>0</v>
      </c>
      <c r="B311" s="14" t="s">
        <v>536</v>
      </c>
      <c r="C311" s="13" t="str">
        <f>vlookup(B311,Vert_Mapper!$A$2:$C$567,2,0)</f>
        <v>Healthcare</v>
      </c>
      <c r="D311" s="13" t="str">
        <f>vlookup(B311,Vert_Mapper!$A$2:$C$567,3,0)</f>
        <v>Medical Devices &amp; Technology</v>
      </c>
      <c r="E311" s="13" t="s">
        <v>26</v>
      </c>
      <c r="F311" s="13" t="s">
        <v>18</v>
      </c>
      <c r="G311" s="13" t="str">
        <f t="shared" si="1"/>
        <v>FLAT TO NEUTRAL</v>
      </c>
      <c r="H311" s="13" t="s">
        <v>151</v>
      </c>
      <c r="I311" s="16">
        <f>IFERROR(__xludf.DUMMYFUNCTION("ROUND(
  MAX(
    MIN(
      (
        (VALUE(INDEX(SPLIT(K311,""-""),1)) + VALUE(INDEX(SPLIT(K311,""-""),2))) / 2
      ) *
      IFS(
        L311&gt;0.4, 1.6,
        L311&gt;0.1, 1.3,
        L311&gt;=-0.05, 1,
        L311&gt;=-0.2, 0.85,
        TRUE, 0.7
     "&amp;" ),
      VALUE(INDEX(SPLIT(K311,""-""),2))
    ),
    VALUE(INDEX(SPLIT(K311,""-""),1))
  )
)"),6.0)</f>
        <v>6</v>
      </c>
      <c r="J311" s="17">
        <f>I311*(VLOOKUP(C311,'Rev_Mapping Table'!$A$1:$C$12,3,0))</f>
        <v>3336000</v>
      </c>
      <c r="K311" s="30">
        <v>45698.0</v>
      </c>
      <c r="L311" s="18">
        <v>0.0</v>
      </c>
      <c r="M311" s="19" t="str">
        <f>VLOOKUP(B311,Master_Mapper!$A$2:$C$628,3,0)</f>
        <v>VentureSouth</v>
      </c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</row>
    <row r="312">
      <c r="A312" s="21" t="b">
        <v>0</v>
      </c>
      <c r="B312" s="31" t="s">
        <v>537</v>
      </c>
      <c r="C312" s="21" t="str">
        <f>vlookup(B312,Vert_Mapper!$A$2:$C$567,2,0)</f>
        <v>Consumer Discretionary</v>
      </c>
      <c r="D312" s="21" t="str">
        <f>vlookup(B312,Vert_Mapper!$A$2:$C$567,3,0)</f>
        <v>Consumer Products</v>
      </c>
      <c r="E312" s="21" t="s">
        <v>26</v>
      </c>
      <c r="F312" s="21" t="s">
        <v>18</v>
      </c>
      <c r="G312" s="21" t="str">
        <f t="shared" si="1"/>
        <v>DECLINING</v>
      </c>
      <c r="H312" s="21" t="s">
        <v>59</v>
      </c>
      <c r="I312" s="24">
        <f>IFERROR(__xludf.DUMMYFUNCTION("ROUND(
  MAX(
    MIN(
      (
        (VALUE(INDEX(SPLIT(K312,""-""),1)) + VALUE(INDEX(SPLIT(K312,""-""),2))) / 2
      ) *
      IFS(
        L312&gt;0.4, 1.6,
        L312&gt;0.1, 1.3,
        L312&gt;=-0.05, 1,
        L312&gt;=-0.2, 0.85,
        TRUE, 0.7
     "&amp;" ),
      VALUE(INDEX(SPLIT(K312,""-""),2))
    ),
    VALUE(INDEX(SPLIT(K312,""-""),1))
  )
)"),26.0)</f>
        <v>26</v>
      </c>
      <c r="J312" s="25">
        <f>I312*(VLOOKUP(C312,'Rev_Mapping Table'!$A$1:$C$12,3,0))</f>
        <v>13312000</v>
      </c>
      <c r="K312" s="24" t="s">
        <v>25</v>
      </c>
      <c r="L312" s="26">
        <v>-0.12</v>
      </c>
      <c r="M312" s="27" t="str">
        <f>VLOOKUP(B312,Master_Mapper!$A$2:$C$628,3,0)</f>
        <v>Cock Island Capital</v>
      </c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</row>
    <row r="313">
      <c r="A313" s="13" t="b">
        <v>0</v>
      </c>
      <c r="B313" s="14" t="s">
        <v>538</v>
      </c>
      <c r="C313" s="13" t="str">
        <f>vlookup(B313,Vert_Mapper!$A$2:$C$567,2,0)</f>
        <v>Healthcare</v>
      </c>
      <c r="D313" s="13" t="str">
        <f>vlookup(B313,Vert_Mapper!$A$2:$C$567,3,0)</f>
        <v>Biotechnology &amp; Pharmaceuticals</v>
      </c>
      <c r="E313" s="13" t="s">
        <v>26</v>
      </c>
      <c r="F313" s="13" t="s">
        <v>18</v>
      </c>
      <c r="G313" s="13" t="str">
        <f t="shared" si="1"/>
        <v>GROWTH PHASE</v>
      </c>
      <c r="H313" s="13" t="s">
        <v>539</v>
      </c>
      <c r="I313" s="16" t="str">
        <f>IFERROR(__xludf.DUMMYFUNCTION("ROUND(
  MAX(
    MIN(
      (
        (VALUE(INDEX(SPLIT(K313,""-""),1)) + VALUE(INDEX(SPLIT(K313,""-""),2))) / 2
      ) *
      IFS(
        L313&gt;0.4, 1.6,
        L313&gt;0.1, 1.3,
        L313&gt;=-0.05, 1,
        L313&gt;=-0.2, 0.85,
        TRUE, 0.7
     "&amp;" ),
      VALUE(INDEX(SPLIT(K313,""-""),2))
    ),
    VALUE(INDEX(SPLIT(K313,""-""),1))
  )
)"),"#VALUE!")</f>
        <v>#VALUE!</v>
      </c>
      <c r="J313" s="17" t="str">
        <f>I313*(VLOOKUP(C313,'Rev_Mapping Table'!$A$1:$C$12,3,0))</f>
        <v>#VALUE!</v>
      </c>
      <c r="K313" s="16" t="s">
        <v>540</v>
      </c>
      <c r="L313" s="18">
        <v>0.08</v>
      </c>
      <c r="M313" s="19" t="str">
        <f>VLOOKUP(B313,Master_Mapper!$A$2:$C$628,3,0)</f>
        <v>NovaQuest Capital Mgmt</v>
      </c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</row>
    <row r="314">
      <c r="A314" s="21" t="b">
        <v>0</v>
      </c>
      <c r="B314" s="31" t="s">
        <v>541</v>
      </c>
      <c r="C314" s="21" t="str">
        <f>vlookup(B314,Vert_Mapper!$A$2:$C$567,2,0)</f>
        <v>Healthcare</v>
      </c>
      <c r="D314" s="21" t="str">
        <f>vlookup(B314,Vert_Mapper!$A$2:$C$567,3,0)</f>
        <v>Biotechnology &amp; Pharmaceuticals</v>
      </c>
      <c r="E314" s="21" t="s">
        <v>26</v>
      </c>
      <c r="F314" s="21" t="s">
        <v>18</v>
      </c>
      <c r="G314" s="21" t="str">
        <f t="shared" si="1"/>
        <v>FLAT TO NEUTRAL</v>
      </c>
      <c r="H314" s="21" t="s">
        <v>542</v>
      </c>
      <c r="I314" s="24">
        <f>IFERROR(__xludf.DUMMYFUNCTION("ROUND(
  MAX(
    MIN(
      (
        (VALUE(INDEX(SPLIT(K314,""-""),1)) + VALUE(INDEX(SPLIT(K314,""-""),2))) / 2
      ) *
      IFS(
        L314&gt;0.4, 1.6,
        L314&gt;0.1, 1.3,
        L314&gt;=-0.05, 1,
        L314&gt;=-0.2, 0.85,
        TRUE, 0.7
     "&amp;" ),
      VALUE(INDEX(SPLIT(K314,""-""),2))
    ),
    VALUE(INDEX(SPLIT(K314,""-""),1))
  )
)"),31.0)</f>
        <v>31</v>
      </c>
      <c r="J314" s="25">
        <f>I314*(VLOOKUP(C314,'Rev_Mapping Table'!$A$1:$C$12,3,0))</f>
        <v>17236000</v>
      </c>
      <c r="K314" s="24" t="s">
        <v>25</v>
      </c>
      <c r="L314" s="26">
        <v>0.0</v>
      </c>
      <c r="M314" s="27" t="str">
        <f>VLOOKUP(B314,Master_Mapper!$A$2:$C$628,3,0)</f>
        <v>NovaQuest Capital Mgmt</v>
      </c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</row>
    <row r="315">
      <c r="A315" s="13" t="b">
        <v>0</v>
      </c>
      <c r="B315" s="14" t="s">
        <v>543</v>
      </c>
      <c r="C315" s="13" t="str">
        <f>vlookup(B315,Vert_Mapper!$A$2:$C$567,2,0)</f>
        <v>Information Technology</v>
      </c>
      <c r="D315" s="13" t="str">
        <f>vlookup(B315,Vert_Mapper!$A$2:$C$567,3,0)</f>
        <v>Security &amp; Cybersecurity</v>
      </c>
      <c r="E315" s="13" t="s">
        <v>26</v>
      </c>
      <c r="F315" s="13" t="s">
        <v>18</v>
      </c>
      <c r="G315" s="13" t="str">
        <f t="shared" si="1"/>
        <v>ACCELERATED GROWTH</v>
      </c>
      <c r="H315" s="13" t="s">
        <v>544</v>
      </c>
      <c r="I315" s="16">
        <f>IFERROR(__xludf.DUMMYFUNCTION("ROUND(
  MAX(
    MIN(
      (
        (VALUE(INDEX(SPLIT(K315,""-""),1)) + VALUE(INDEX(SPLIT(K315,""-""),2))) / 2
      ) *
      IFS(
        L315&gt;0.4, 1.6,
        L315&gt;0.1, 1.3,
        L315&gt;=-0.05, 1,
        L315&gt;=-0.2, 0.85,
        TRUE, 0.7
     "&amp;" ),
      VALUE(INDEX(SPLIT(K315,""-""),2))
    ),
    VALUE(INDEX(SPLIT(K315,""-""),1))
  )
)"),40.0)</f>
        <v>40</v>
      </c>
      <c r="J315" s="17">
        <f>I315*(VLOOKUP(C315,'Rev_Mapping Table'!$A$1:$C$12,3,0))</f>
        <v>22560000</v>
      </c>
      <c r="K315" s="16" t="s">
        <v>25</v>
      </c>
      <c r="L315" s="18">
        <v>0.39</v>
      </c>
      <c r="M315" s="19" t="str">
        <f>VLOOKUP(B315,Master_Mapper!$A$2:$C$628,3,0)</f>
        <v>Falfurrias Capital Partners</v>
      </c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</row>
    <row r="316">
      <c r="A316" s="21" t="b">
        <v>0</v>
      </c>
      <c r="B316" s="31" t="s">
        <v>545</v>
      </c>
      <c r="C316" s="21" t="str">
        <f>vlookup(B316,Vert_Mapper!$A$2:$C$567,2,0)</f>
        <v>Information Technology</v>
      </c>
      <c r="D316" s="21" t="str">
        <f>vlookup(B316,Vert_Mapper!$A$2:$C$567,3,0)</f>
        <v>Cloud &amp; Infrastructure</v>
      </c>
      <c r="E316" s="21" t="s">
        <v>65</v>
      </c>
      <c r="F316" s="21" t="s">
        <v>30</v>
      </c>
      <c r="G316" s="21" t="str">
        <f t="shared" si="1"/>
        <v>ACCELERATED GROWTH</v>
      </c>
      <c r="H316" s="21" t="s">
        <v>236</v>
      </c>
      <c r="I316" s="24">
        <f>IFERROR(__xludf.DUMMYFUNCTION("ROUND(
  MAX(
    MIN(
      (
        (VALUE(INDEX(SPLIT(K316,""-""),1)) + VALUE(INDEX(SPLIT(K316,""-""),2))) / 2
      ) *
      IFS(
        L316&gt;0.4, 1.6,
        L316&gt;0.1, 1.3,
        L316&gt;=-0.05, 1,
        L316&gt;=-0.2, 0.85,
        TRUE, 0.7
     "&amp;" ),
      VALUE(INDEX(SPLIT(K316,""-""),2))
    ),
    VALUE(INDEX(SPLIT(K316,""-""),1))
  )
)"),40.0)</f>
        <v>40</v>
      </c>
      <c r="J316" s="25">
        <f>I316*(VLOOKUP(C316,'Rev_Mapping Table'!$A$1:$C$12,3,0))</f>
        <v>22560000</v>
      </c>
      <c r="K316" s="24" t="s">
        <v>25</v>
      </c>
      <c r="L316" s="26">
        <v>0.21</v>
      </c>
      <c r="M316" s="27" t="str">
        <f>VLOOKUP(B316,Master_Mapper!$A$2:$C$628,3,0)</f>
        <v>VentureSouth</v>
      </c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</row>
    <row r="317">
      <c r="A317" s="13" t="b">
        <v>0</v>
      </c>
      <c r="B317" s="14" t="s">
        <v>546</v>
      </c>
      <c r="C317" s="13" t="str">
        <f>vlookup(B317,Vert_Mapper!$A$2:$C$567,2,0)</f>
        <v>Materials</v>
      </c>
      <c r="D317" s="13" t="str">
        <f>vlookup(B317,Vert_Mapper!$A$2:$C$567,3,0)</f>
        <v>Packaging &amp; Paper Products</v>
      </c>
      <c r="E317" s="13" t="s">
        <v>138</v>
      </c>
      <c r="F317" s="13" t="s">
        <v>18</v>
      </c>
      <c r="G317" s="13" t="str">
        <f t="shared" si="1"/>
        <v>DECLINING</v>
      </c>
      <c r="H317" s="13" t="s">
        <v>117</v>
      </c>
      <c r="I317" s="16">
        <f>IFERROR(__xludf.DUMMYFUNCTION("ROUND(
  MAX(
    MIN(
      (
        (VALUE(INDEX(SPLIT(K317,""-""),1)) + VALUE(INDEX(SPLIT(K317,""-""),2))) / 2
      ) *
      IFS(
        L317&gt;0.4, 1.6,
        L317&gt;0.1, 1.3,
        L317&gt;=-0.05, 1,
        L317&gt;=-0.2, 0.85,
        TRUE, 0.7
     "&amp;" ),
      VALUE(INDEX(SPLIT(K317,""-""),2))
    ),
    VALUE(INDEX(SPLIT(K317,""-""),1))
  )
)"),751.0)</f>
        <v>751</v>
      </c>
      <c r="J317" s="17">
        <f>I317*(VLOOKUP(C317,'Rev_Mapping Table'!$A$1:$C$12,3,0))</f>
        <v>370243000</v>
      </c>
      <c r="K317" s="16" t="s">
        <v>54</v>
      </c>
      <c r="L317" s="18">
        <v>-0.04</v>
      </c>
      <c r="M317" s="19" t="str">
        <f>VLOOKUP(B317,Master_Mapper!$A$2:$C$628,3,0)</f>
        <v>Monomoy Capital Partners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</row>
    <row r="318">
      <c r="A318" s="21" t="b">
        <v>0</v>
      </c>
      <c r="B318" s="31" t="s">
        <v>547</v>
      </c>
      <c r="C318" s="21" t="str">
        <f>vlookup(B318,Vert_Mapper!$A$2:$C$567,2,0)</f>
        <v>Information Technology</v>
      </c>
      <c r="D318" s="21" t="str">
        <f>vlookup(B318,Vert_Mapper!$A$2:$C$567,3,0)</f>
        <v>Software &amp; SaaS</v>
      </c>
      <c r="E318" s="21" t="s">
        <v>26</v>
      </c>
      <c r="F318" s="21" t="s">
        <v>18</v>
      </c>
      <c r="G318" s="21" t="str">
        <f t="shared" si="1"/>
        <v>GROWTH PHASE</v>
      </c>
      <c r="H318" s="21" t="s">
        <v>548</v>
      </c>
      <c r="I318" s="24">
        <f>IFERROR(__xludf.DUMMYFUNCTION("ROUND(
  MAX(
    MIN(
      (
        (VALUE(INDEX(SPLIT(K318,""-""),1)) + VALUE(INDEX(SPLIT(K318,""-""),2))) / 2
      ) *
      IFS(
        L318&gt;0.4, 1.6,
        L318&gt;0.1, 1.3,
        L318&gt;=-0.05, 1,
        L318&gt;=-0.2, 0.85,
        TRUE, 0.7
     "&amp;" ),
      VALUE(INDEX(SPLIT(K318,""-""),2))
    ),
    VALUE(INDEX(SPLIT(K318,""-""),1))
  )
)"),40.0)</f>
        <v>40</v>
      </c>
      <c r="J318" s="25">
        <f>I318*(VLOOKUP(C318,'Rev_Mapping Table'!$A$1:$C$12,3,0))</f>
        <v>22560000</v>
      </c>
      <c r="K318" s="24" t="s">
        <v>25</v>
      </c>
      <c r="L318" s="26">
        <v>0.18</v>
      </c>
      <c r="M318" s="27" t="str">
        <f>VLOOKUP(B318,Master_Mapper!$A$2:$C$628,3,0)</f>
        <v>Cerity Partners</v>
      </c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</row>
    <row r="319">
      <c r="A319" s="13" t="b">
        <v>0</v>
      </c>
      <c r="B319" s="14" t="s">
        <v>549</v>
      </c>
      <c r="C319" s="13" t="str">
        <f>vlookup(B319,Vert_Mapper!$A$2:$C$567,2,0)</f>
        <v>Consumer Discretionary</v>
      </c>
      <c r="D319" s="13" t="str">
        <f>vlookup(B319,Vert_Mapper!$A$2:$C$567,3,0)</f>
        <v>Restaurants &amp; Food Services</v>
      </c>
      <c r="E319" s="13" t="s">
        <v>175</v>
      </c>
      <c r="F319" s="13" t="s">
        <v>34</v>
      </c>
      <c r="G319" s="13" t="str">
        <f t="shared" si="1"/>
        <v>HYPERGROWTH</v>
      </c>
      <c r="H319" s="13" t="s">
        <v>131</v>
      </c>
      <c r="I319" s="16" t="str">
        <f>IFERROR(__xludf.DUMMYFUNCTION("ROUND(
  MAX(
    MIN(
      (
        (VALUE(INDEX(SPLIT(K319,""-""),1)) + VALUE(INDEX(SPLIT(K319,""-""),2))) / 2
      ) *
      IFS(
        L319&gt;0.4, 1.6,
        L319&gt;0.1, 1.3,
        L319&gt;=-0.05, 1,
        L319&gt;=-0.2, 0.85,
        TRUE, 0.7
     "&amp;" ),
      VALUE(INDEX(SPLIT(K319,""-""),2))
    ),
    VALUE(INDEX(SPLIT(K319,""-""),1))
  )
)"),"#VALUE!")</f>
        <v>#VALUE!</v>
      </c>
      <c r="J319" s="17" t="str">
        <f>I319*(VLOOKUP(C319,'Rev_Mapping Table'!$A$1:$C$12,3,0))</f>
        <v>#VALUE!</v>
      </c>
      <c r="K319" s="33" t="s">
        <v>131</v>
      </c>
      <c r="L319" s="33" t="s">
        <v>131</v>
      </c>
      <c r="M319" s="19" t="str">
        <f>VLOOKUP(B319,Master_Mapper!$A$2:$C$628,3,0)</f>
        <v>Hargett Hunter</v>
      </c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</row>
    <row r="320">
      <c r="A320" s="21" t="b">
        <v>0</v>
      </c>
      <c r="B320" s="31" t="s">
        <v>550</v>
      </c>
      <c r="C320" s="21" t="str">
        <f>vlookup(B320,Vert_Mapper!$A$2:$C$567,2,0)</f>
        <v>Industrials</v>
      </c>
      <c r="D320" s="21" t="str">
        <f>vlookup(B320,Vert_Mapper!$A$2:$C$567,3,0)</f>
        <v>Maritime &amp; Marine Services</v>
      </c>
      <c r="E320" s="21" t="s">
        <v>26</v>
      </c>
      <c r="F320" s="21" t="s">
        <v>18</v>
      </c>
      <c r="G320" s="21" t="str">
        <f t="shared" si="1"/>
        <v>DECLINING</v>
      </c>
      <c r="H320" s="21" t="s">
        <v>551</v>
      </c>
      <c r="I320" s="24">
        <f>IFERROR(__xludf.DUMMYFUNCTION("ROUND(
  MAX(
    MIN(
      (
        (VALUE(INDEX(SPLIT(K320,""-""),1)) + VALUE(INDEX(SPLIT(K320,""-""),2))) / 2
      ) *
      IFS(
        L320&gt;0.4, 1.6,
        L320&gt;0.1, 1.3,
        L320&gt;=-0.05, 1,
        L320&gt;=-0.2, 0.85,
        TRUE, 0.7
     "&amp;" ),
      VALUE(INDEX(SPLIT(K320,""-""),2))
    ),
    VALUE(INDEX(SPLIT(K320,""-""),1))
  )
)"),126.0)</f>
        <v>126</v>
      </c>
      <c r="J320" s="25">
        <f>I320*(VLOOKUP(C320,'Rev_Mapping Table'!$A$1:$C$12,3,0))</f>
        <v>62118000</v>
      </c>
      <c r="K320" s="24" t="s">
        <v>32</v>
      </c>
      <c r="L320" s="26">
        <v>-0.05</v>
      </c>
      <c r="M320" s="27" t="str">
        <f>VLOOKUP(B320,Master_Mapper!$A$2:$C$628,3,0)</f>
        <v>Vibora Capital</v>
      </c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</row>
    <row r="321">
      <c r="A321" s="13" t="b">
        <v>0</v>
      </c>
      <c r="B321" s="14" t="s">
        <v>552</v>
      </c>
      <c r="C321" s="13" t="str">
        <f>vlookup(B321,Vert_Mapper!$A$2:$C$567,2,0)</f>
        <v>Real Estate</v>
      </c>
      <c r="D321" s="13" t="str">
        <f>vlookup(B321,Vert_Mapper!$A$2:$C$567,3,0)</f>
        <v>Real Estate Technology</v>
      </c>
      <c r="E321" s="13" t="s">
        <v>26</v>
      </c>
      <c r="F321" s="13" t="s">
        <v>18</v>
      </c>
      <c r="G321" s="13" t="str">
        <f t="shared" si="1"/>
        <v>DECLINING</v>
      </c>
      <c r="H321" s="13" t="s">
        <v>553</v>
      </c>
      <c r="I321" s="16">
        <f>IFERROR(__xludf.DUMMYFUNCTION("ROUND(
  MAX(
    MIN(
      (
        (VALUE(INDEX(SPLIT(K321,""-""),1)) + VALUE(INDEX(SPLIT(K321,""-""),2))) / 2
      ) *
      IFS(
        L321&gt;0.4, 1.6,
        L321&gt;0.1, 1.3,
        L321&gt;=-0.05, 1,
        L321&gt;=-0.2, 0.85,
        TRUE, 0.7
     "&amp;" ),
      VALUE(INDEX(SPLIT(K321,""-""),2))
    ),
    VALUE(INDEX(SPLIT(K321,""-""),1))
  )
)"),107.0)</f>
        <v>107</v>
      </c>
      <c r="J321" s="17">
        <f>I321*(VLOOKUP(C321,'Rev_Mapping Table'!$A$1:$C$12,3,0))</f>
        <v>49220000</v>
      </c>
      <c r="K321" s="16" t="s">
        <v>32</v>
      </c>
      <c r="L321" s="18">
        <v>-0.08</v>
      </c>
      <c r="M321" s="19" t="str">
        <f>VLOOKUP(B321,Master_Mapper!$A$2:$C$628,3,0)</f>
        <v/>
      </c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</row>
    <row r="322">
      <c r="A322" s="21" t="b">
        <v>0</v>
      </c>
      <c r="B322" s="31" t="s">
        <v>554</v>
      </c>
      <c r="C322" s="21" t="str">
        <f>vlookup(B322,Vert_Mapper!$A$2:$C$567,2,0)</f>
        <v>#N/A</v>
      </c>
      <c r="D322" s="21" t="str">
        <f>vlookup(B322,Vert_Mapper!$A$2:$C$567,3,0)</f>
        <v>#N/A</v>
      </c>
      <c r="E322" s="21" t="s">
        <v>138</v>
      </c>
      <c r="F322" s="21" t="s">
        <v>18</v>
      </c>
      <c r="G322" s="21" t="str">
        <f t="shared" si="1"/>
        <v>GROWTH PHASE</v>
      </c>
      <c r="H322" s="21" t="s">
        <v>555</v>
      </c>
      <c r="I322" s="24">
        <f>IFERROR(__xludf.DUMMYFUNCTION("ROUND(
  MAX(
    MIN(
      (
        (VALUE(INDEX(SPLIT(K322,""-""),1)) + VALUE(INDEX(SPLIT(K322,""-""),2))) / 2
      ) *
      IFS(
        L322&gt;0.4, 1.6,
        L322&gt;0.1, 1.3,
        L322&gt;=-0.05, 1,
        L322&gt;=-0.2, 0.85,
        TRUE, 0.7
     "&amp;" ),
      VALUE(INDEX(SPLIT(K322,""-""),2))
    ),
    VALUE(INDEX(SPLIT(K322,""-""),1))
  )
)"),163.0)</f>
        <v>163</v>
      </c>
      <c r="J322" s="25" t="str">
        <f>I322*(VLOOKUP(C322,'Rev_Mapping Table'!$A$1:$C$12,3,0))</f>
        <v>#N/A</v>
      </c>
      <c r="K322" s="24" t="s">
        <v>32</v>
      </c>
      <c r="L322" s="26">
        <v>0.11</v>
      </c>
      <c r="M322" s="27" t="str">
        <f>VLOOKUP(B322,Master_Mapper!$A$2:$C$628,3,0)</f>
        <v>Blue Point Capital Partners</v>
      </c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</row>
    <row r="323">
      <c r="A323" s="13" t="b">
        <v>0</v>
      </c>
      <c r="B323" s="14" t="s">
        <v>556</v>
      </c>
      <c r="C323" s="13" t="str">
        <f>vlookup(B323,Vert_Mapper!$A$2:$C$567,2,0)</f>
        <v>Consumer Discretionary</v>
      </c>
      <c r="D323" s="13" t="str">
        <f>vlookup(B323,Vert_Mapper!$A$2:$C$567,3,0)</f>
        <v>Consumer Products</v>
      </c>
      <c r="E323" s="13" t="s">
        <v>26</v>
      </c>
      <c r="F323" s="13" t="s">
        <v>18</v>
      </c>
      <c r="G323" s="13" t="str">
        <f t="shared" si="1"/>
        <v>ACCELERATED GROWTH</v>
      </c>
      <c r="H323" s="13" t="s">
        <v>123</v>
      </c>
      <c r="I323" s="16">
        <f>IFERROR(__xludf.DUMMYFUNCTION("ROUND(
  MAX(
    MIN(
      (
        (VALUE(INDEX(SPLIT(K323,""-""),1)) + VALUE(INDEX(SPLIT(K323,""-""),2))) / 2
      ) *
      IFS(
        L323&gt;0.4, 1.6,
        L323&gt;0.1, 1.3,
        L323&gt;=-0.05, 1,
        L323&gt;=-0.2, 0.85,
        TRUE, 0.7
     "&amp;" ),
      VALUE(INDEX(SPLIT(K323,""-""),2))
    ),
    VALUE(INDEX(SPLIT(K323,""-""),1))
  )
)"),8.0)</f>
        <v>8</v>
      </c>
      <c r="J323" s="17">
        <f>I323*(VLOOKUP(C323,'Rev_Mapping Table'!$A$1:$C$12,3,0))</f>
        <v>4096000</v>
      </c>
      <c r="K323" s="30">
        <v>45698.0</v>
      </c>
      <c r="L323" s="18">
        <v>0.31</v>
      </c>
      <c r="M323" s="19" t="str">
        <f>VLOOKUP(B323,Master_Mapper!$A$2:$C$628,3,0)</f>
        <v>Cerity Partners</v>
      </c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</row>
    <row r="324">
      <c r="A324" s="21" t="b">
        <v>0</v>
      </c>
      <c r="B324" s="31" t="s">
        <v>557</v>
      </c>
      <c r="C324" s="21" t="str">
        <f>vlookup(B324,Vert_Mapper!$A$2:$C$567,2,0)</f>
        <v>Healthcare</v>
      </c>
      <c r="D324" s="21" t="str">
        <f>vlookup(B324,Vert_Mapper!$A$2:$C$567,3,0)</f>
        <v>Medical Devices &amp; Technology</v>
      </c>
      <c r="E324" s="21" t="s">
        <v>26</v>
      </c>
      <c r="F324" s="21" t="s">
        <v>18</v>
      </c>
      <c r="G324" s="21" t="str">
        <f t="shared" si="1"/>
        <v>FLAT TO NEUTRAL</v>
      </c>
      <c r="H324" s="21" t="s">
        <v>558</v>
      </c>
      <c r="I324" s="24">
        <f>IFERROR(__xludf.DUMMYFUNCTION("ROUND(
  MAX(
    MIN(
      (
        (VALUE(INDEX(SPLIT(K324,""-""),1)) + VALUE(INDEX(SPLIT(K324,""-""),2))) / 2
      ) *
      IFS(
        L324&gt;0.4, 1.6,
        L324&gt;0.1, 1.3,
        L324&gt;=-0.05, 1,
        L324&gt;=-0.2, 0.85,
        TRUE, 0.7
     "&amp;" ),
      VALUE(INDEX(SPLIT(K324,""-""),2))
    ),
    VALUE(INDEX(SPLIT(K324,""-""),1))
  )
)"),31.0)</f>
        <v>31</v>
      </c>
      <c r="J324" s="25">
        <f>I324*(VLOOKUP(C324,'Rev_Mapping Table'!$A$1:$C$12,3,0))</f>
        <v>17236000</v>
      </c>
      <c r="K324" s="24" t="s">
        <v>25</v>
      </c>
      <c r="L324" s="26">
        <v>0.0</v>
      </c>
      <c r="M324" s="27" t="str">
        <f>VLOOKUP(B324,Master_Mapper!$A$2:$C$628,3,0)</f>
        <v>Route 2 Capital Partners</v>
      </c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</row>
    <row r="325">
      <c r="A325" s="13" t="b">
        <v>1</v>
      </c>
      <c r="B325" s="14" t="s">
        <v>559</v>
      </c>
      <c r="C325" s="13" t="str">
        <f>vlookup(B325,Vert_Mapper!$A$2:$C$567,2,0)</f>
        <v>Financials</v>
      </c>
      <c r="D325" s="13" t="str">
        <f>vlookup(B325,Vert_Mapper!$A$2:$C$567,3,0)</f>
        <v>Financial Technology &amp; Investment Services</v>
      </c>
      <c r="E325" s="13" t="s">
        <v>26</v>
      </c>
      <c r="F325" s="13" t="s">
        <v>18</v>
      </c>
      <c r="G325" s="13" t="str">
        <f t="shared" si="1"/>
        <v>GROWTH PHASE</v>
      </c>
      <c r="H325" s="13" t="s">
        <v>510</v>
      </c>
      <c r="I325" s="16">
        <f>IFERROR(__xludf.DUMMYFUNCTION("ROUND(
  MAX(
    MIN(
      (
        (VALUE(INDEX(SPLIT(K325,""-""),1)) + VALUE(INDEX(SPLIT(K325,""-""),2))) / 2
      ) *
      IFS(
        L325&gt;0.4, 1.6,
        L325&gt;0.1, 1.3,
        L325&gt;=-0.05, 1,
        L325&gt;=-0.2, 0.85,
        TRUE, 0.7
     "&amp;" ),
      VALUE(INDEX(SPLIT(K325,""-""),2))
    ),
    VALUE(INDEX(SPLIT(K325,""-""),1))
  )
)"),31.0)</f>
        <v>31</v>
      </c>
      <c r="J325" s="17">
        <f>I325*(VLOOKUP(C325,'Rev_Mapping Table'!$A$1:$C$12,3,0))</f>
        <v>28055000</v>
      </c>
      <c r="K325" s="16" t="s">
        <v>25</v>
      </c>
      <c r="L325" s="18">
        <v>0.09</v>
      </c>
      <c r="M325" s="19" t="str">
        <f>VLOOKUP(B325,Master_Mapper!$A$2:$C$628,3,0)</f>
        <v>Vibora Capital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</row>
    <row r="326">
      <c r="A326" s="21" t="b">
        <v>0</v>
      </c>
      <c r="B326" s="31" t="s">
        <v>560</v>
      </c>
      <c r="C326" s="21" t="str">
        <f>vlookup(B326,Vert_Mapper!$A$2:$C$567,2,0)</f>
        <v>Industrials</v>
      </c>
      <c r="D326" s="21" t="str">
        <f>vlookup(B326,Vert_Mapper!$A$2:$C$567,3,0)</f>
        <v>Transportation &amp; Logistics</v>
      </c>
      <c r="E326" s="21" t="s">
        <v>26</v>
      </c>
      <c r="F326" s="21" t="s">
        <v>18</v>
      </c>
      <c r="G326" s="21" t="str">
        <f t="shared" si="1"/>
        <v>GROWTH PHASE</v>
      </c>
      <c r="H326" s="21" t="s">
        <v>47</v>
      </c>
      <c r="I326" s="24">
        <f>IFERROR(__xludf.DUMMYFUNCTION("ROUND(
  MAX(
    MIN(
      (
        (VALUE(INDEX(SPLIT(K326,""-""),1)) + VALUE(INDEX(SPLIT(K326,""-""),2))) / 2
      ) *
      IFS(
        L326&gt;0.4, 1.6,
        L326&gt;0.1, 1.3,
        L326&gt;=-0.05, 1,
        L326&gt;=-0.2, 0.85,
        TRUE, 0.7
     "&amp;" ),
      VALUE(INDEX(SPLIT(K326,""-""),2))
    ),
    VALUE(INDEX(SPLIT(K326,""-""),1))
  )
)"),126.0)</f>
        <v>126</v>
      </c>
      <c r="J326" s="25">
        <f>I326*(VLOOKUP(C326,'Rev_Mapping Table'!$A$1:$C$12,3,0))</f>
        <v>62118000</v>
      </c>
      <c r="K326" s="24" t="s">
        <v>32</v>
      </c>
      <c r="L326" s="26">
        <v>0.08</v>
      </c>
      <c r="M326" s="27" t="str">
        <f>VLOOKUP(B326,Master_Mapper!$A$2:$C$628,3,0)</f>
        <v>Carousel Capital</v>
      </c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</row>
    <row r="327">
      <c r="A327" s="13" t="b">
        <v>0</v>
      </c>
      <c r="B327" s="14" t="s">
        <v>561</v>
      </c>
      <c r="C327" s="13" t="str">
        <f>vlookup(B327,Vert_Mapper!$A$2:$C$567,2,0)</f>
        <v>Consumer Discretionary</v>
      </c>
      <c r="D327" s="13" t="str">
        <f>vlookup(B327,Vert_Mapper!$A$2:$C$567,3,0)</f>
        <v>Consumer Products</v>
      </c>
      <c r="E327" s="13" t="s">
        <v>26</v>
      </c>
      <c r="F327" s="13" t="s">
        <v>18</v>
      </c>
      <c r="G327" s="13" t="str">
        <f t="shared" si="1"/>
        <v>SEVERELY NEGATIVE</v>
      </c>
      <c r="H327" s="13" t="s">
        <v>100</v>
      </c>
      <c r="I327" s="16">
        <f>IFERROR(__xludf.DUMMYFUNCTION("ROUND(
  MAX(
    MIN(
      (
        (VALUE(INDEX(SPLIT(K327,""-""),1)) + VALUE(INDEX(SPLIT(K327,""-""),2))) / 2
      ) *
      IFS(
        L327&gt;0.4, 1.6,
        L327&gt;0.1, 1.3,
        L327&gt;=-0.05, 1,
        L327&gt;=-0.2, 0.85,
        TRUE, 0.7
     "&amp;" ),
      VALUE(INDEX(SPLIT(K327,""-""),2))
    ),
    VALUE(INDEX(SPLIT(K327,""-""),1))
  )
)"),4.0)</f>
        <v>4</v>
      </c>
      <c r="J327" s="17">
        <f>I327*(VLOOKUP(C327,'Rev_Mapping Table'!$A$1:$C$12,3,0))</f>
        <v>2048000</v>
      </c>
      <c r="K327" s="30">
        <v>45698.0</v>
      </c>
      <c r="L327" s="18">
        <v>-0.25</v>
      </c>
      <c r="M327" s="19" t="str">
        <f>VLOOKUP(B327,Master_Mapper!$A$2:$C$628,3,0)</f>
        <v/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</row>
    <row r="328">
      <c r="A328" s="21" t="b">
        <v>0</v>
      </c>
      <c r="B328" s="31" t="s">
        <v>562</v>
      </c>
      <c r="C328" s="21" t="str">
        <f>vlookup(B328,Vert_Mapper!$A$2:$C$567,2,0)</f>
        <v>Healthcare</v>
      </c>
      <c r="D328" s="21" t="str">
        <f>vlookup(B328,Vert_Mapper!$A$2:$C$567,3,0)</f>
        <v>Healthcare Technology &amp; Analytics</v>
      </c>
      <c r="E328" s="21" t="s">
        <v>26</v>
      </c>
      <c r="F328" s="21" t="s">
        <v>18</v>
      </c>
      <c r="G328" s="21" t="str">
        <f t="shared" si="1"/>
        <v>FLAT TO NEUTRAL</v>
      </c>
      <c r="H328" s="21" t="s">
        <v>66</v>
      </c>
      <c r="I328" s="24">
        <f>IFERROR(__xludf.DUMMYFUNCTION("ROUND(
  MAX(
    MIN(
      (
        (VALUE(INDEX(SPLIT(K328,""-""),1)) + VALUE(INDEX(SPLIT(K328,""-""),2))) / 2
      ) *
      IFS(
        L328&gt;0.4, 1.6,
        L328&gt;0.1, 1.3,
        L328&gt;=-0.05, 1,
        L328&gt;=-0.2, 0.85,
        TRUE, 0.7
     "&amp;" ),
      VALUE(INDEX(SPLIT(K328,""-""),2))
    ),
    VALUE(INDEX(SPLIT(K328,""-""),1))
  )
)"),6.0)</f>
        <v>6</v>
      </c>
      <c r="J328" s="25">
        <f>I328*(VLOOKUP(C328,'Rev_Mapping Table'!$A$1:$C$12,3,0))</f>
        <v>3336000</v>
      </c>
      <c r="K328" s="32">
        <v>45698.0</v>
      </c>
      <c r="L328" s="26">
        <v>0.0</v>
      </c>
      <c r="M328" s="27" t="str">
        <f>VLOOKUP(B328,Master_Mapper!$A$2:$C$628,3,0)</f>
        <v>Eshelman Ventures, LLC</v>
      </c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</row>
    <row r="329">
      <c r="A329" s="13" t="b">
        <v>0</v>
      </c>
      <c r="B329" s="14" t="s">
        <v>563</v>
      </c>
      <c r="C329" s="13" t="str">
        <f>vlookup(B329,Vert_Mapper!$A$2:$C$567,2,0)</f>
        <v>Information Technology</v>
      </c>
      <c r="D329" s="13" t="str">
        <f>vlookup(B329,Vert_Mapper!$A$2:$C$567,3,0)</f>
        <v>Software &amp; SaaS</v>
      </c>
      <c r="E329" s="13" t="s">
        <v>26</v>
      </c>
      <c r="F329" s="13" t="s">
        <v>18</v>
      </c>
      <c r="G329" s="13" t="str">
        <f t="shared" si="1"/>
        <v>DECLINING</v>
      </c>
      <c r="H329" s="13" t="s">
        <v>51</v>
      </c>
      <c r="I329" s="16">
        <f>IFERROR(__xludf.DUMMYFUNCTION("ROUND(
  MAX(
    MIN(
      (
        (VALUE(INDEX(SPLIT(K329,""-""),1)) + VALUE(INDEX(SPLIT(K329,""-""),2))) / 2
      ) *
      IFS(
        L329&gt;0.4, 1.6,
        L329&gt;0.1, 1.3,
        L329&gt;=-0.05, 1,
        L329&gt;=-0.2, 0.85,
        TRUE, 0.7
     "&amp;" ),
      VALUE(INDEX(SPLIT(K329,""-""),2))
    ),
    VALUE(INDEX(SPLIT(K329,""-""),1))
  )
)"),26.0)</f>
        <v>26</v>
      </c>
      <c r="J329" s="17">
        <f>I329*(VLOOKUP(C329,'Rev_Mapping Table'!$A$1:$C$12,3,0))</f>
        <v>14664000</v>
      </c>
      <c r="K329" s="16" t="s">
        <v>25</v>
      </c>
      <c r="L329" s="18">
        <v>-0.2</v>
      </c>
      <c r="M329" s="19" t="str">
        <f>VLOOKUP(B329,Master_Mapper!$A$2:$C$628,3,0)</f>
        <v>Bloomfield Partners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</row>
    <row r="330">
      <c r="A330" s="21" t="b">
        <v>0</v>
      </c>
      <c r="B330" s="31" t="s">
        <v>564</v>
      </c>
      <c r="C330" s="21" t="str">
        <f>vlookup(B330,Vert_Mapper!$A$2:$C$567,2,0)</f>
        <v>Information Technology</v>
      </c>
      <c r="D330" s="21" t="str">
        <f>vlookup(B330,Vert_Mapper!$A$2:$C$567,3,0)</f>
        <v>Software &amp; SaaS</v>
      </c>
      <c r="E330" s="21" t="s">
        <v>26</v>
      </c>
      <c r="F330" s="21" t="s">
        <v>18</v>
      </c>
      <c r="G330" s="21" t="str">
        <f t="shared" si="1"/>
        <v>GROWTH PHASE</v>
      </c>
      <c r="H330" s="21" t="s">
        <v>565</v>
      </c>
      <c r="I330" s="24">
        <f>IFERROR(__xludf.DUMMYFUNCTION("ROUND(
  MAX(
    MIN(
      (
        (VALUE(INDEX(SPLIT(K330,""-""),1)) + VALUE(INDEX(SPLIT(K330,""-""),2))) / 2
      ) *
      IFS(
        L330&gt;0.4, 1.6,
        L330&gt;0.1, 1.3,
        L330&gt;=-0.05, 1,
        L330&gt;=-0.2, 0.85,
        TRUE, 0.7
     "&amp;" ),
      VALUE(INDEX(SPLIT(K330,""-""),2))
    ),
    VALUE(INDEX(SPLIT(K330,""-""),1))
  )
)"),126.0)</f>
        <v>126</v>
      </c>
      <c r="J330" s="25">
        <f>I330*(VLOOKUP(C330,'Rev_Mapping Table'!$A$1:$C$12,3,0))</f>
        <v>71064000</v>
      </c>
      <c r="K330" s="24" t="s">
        <v>32</v>
      </c>
      <c r="L330" s="26">
        <v>0.09</v>
      </c>
      <c r="M330" s="27" t="str">
        <f>VLOOKUP(B330,Master_Mapper!$A$2:$C$628,3,0)</f>
        <v>Cerity Partners</v>
      </c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</row>
    <row r="331">
      <c r="A331" s="13" t="b">
        <v>0</v>
      </c>
      <c r="B331" s="14" t="s">
        <v>566</v>
      </c>
      <c r="C331" s="13" t="str">
        <f>vlookup(B331,Vert_Mapper!$A$2:$C$567,2,0)</f>
        <v>Healthcare</v>
      </c>
      <c r="D331" s="13" t="str">
        <f>vlookup(B331,Vert_Mapper!$A$2:$C$567,3,0)</f>
        <v>Biotechnology &amp; Pharmaceuticals</v>
      </c>
      <c r="E331" s="13" t="s">
        <v>26</v>
      </c>
      <c r="F331" s="13" t="s">
        <v>18</v>
      </c>
      <c r="G331" s="13" t="str">
        <f t="shared" si="1"/>
        <v>ACCELERATED GROWTH</v>
      </c>
      <c r="H331" s="13" t="s">
        <v>567</v>
      </c>
      <c r="I331" s="16">
        <f>IFERROR(__xludf.DUMMYFUNCTION("ROUND(
  MAX(
    MIN(
      (
        (VALUE(INDEX(SPLIT(K331,""-""),1)) + VALUE(INDEX(SPLIT(K331,""-""),2))) / 2
      ) *
      IFS(
        L331&gt;0.4, 1.6,
        L331&gt;0.1, 1.3,
        L331&gt;=-0.05, 1,
        L331&gt;=-0.2, 0.85,
        TRUE, 0.7
     "&amp;" ),
      VALUE(INDEX(SPLIT(K331,""-""),2))
    ),
    VALUE(INDEX(SPLIT(K331,""-""),1))
  )
)"),163.0)</f>
        <v>163</v>
      </c>
      <c r="J331" s="17">
        <f>I331*(VLOOKUP(C331,'Rev_Mapping Table'!$A$1:$C$12,3,0))</f>
        <v>90628000</v>
      </c>
      <c r="K331" s="16" t="s">
        <v>32</v>
      </c>
      <c r="L331" s="18">
        <v>0.32</v>
      </c>
      <c r="M331" s="19" t="str">
        <f>VLOOKUP(B331,Master_Mapper!$A$2:$C$628,3,0)</f>
        <v>NovaQuest Capital Mgmt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</row>
    <row r="332">
      <c r="A332" s="21" t="b">
        <v>0</v>
      </c>
      <c r="B332" s="31" t="s">
        <v>568</v>
      </c>
      <c r="C332" s="21" t="str">
        <f>vlookup(B332,Vert_Mapper!$A$2:$C$567,2,0)</f>
        <v>Industrials</v>
      </c>
      <c r="D332" s="21" t="str">
        <f>vlookup(B332,Vert_Mapper!$A$2:$C$567,3,0)</f>
        <v>Industrial Equipment &amp; Services</v>
      </c>
      <c r="E332" s="21" t="s">
        <v>26</v>
      </c>
      <c r="F332" s="21" t="s">
        <v>18</v>
      </c>
      <c r="G332" s="21" t="str">
        <f t="shared" si="1"/>
        <v>GROWTH PHASE</v>
      </c>
      <c r="H332" s="21" t="s">
        <v>569</v>
      </c>
      <c r="I332" s="24">
        <f>IFERROR(__xludf.DUMMYFUNCTION("ROUND(
  MAX(
    MIN(
      (
        (VALUE(INDEX(SPLIT(K332,""-""),1)) + VALUE(INDEX(SPLIT(K332,""-""),2))) / 2
      ) *
      IFS(
        L332&gt;0.4, 1.6,
        L332&gt;0.1, 1.3,
        L332&gt;=-0.05, 1,
        L332&gt;=-0.2, 0.85,
        TRUE, 0.7
     "&amp;" ),
      VALUE(INDEX(SPLIT(K332,""-""),2))
    ),
    VALUE(INDEX(SPLIT(K332,""-""),1))
  )
)"),163.0)</f>
        <v>163</v>
      </c>
      <c r="J332" s="25">
        <f>I332*(VLOOKUP(C332,'Rev_Mapping Table'!$A$1:$C$12,3,0))</f>
        <v>80359000</v>
      </c>
      <c r="K332" s="24" t="s">
        <v>32</v>
      </c>
      <c r="L332" s="26">
        <v>0.13</v>
      </c>
      <c r="M332" s="27" t="str">
        <f>VLOOKUP(B332,Master_Mapper!$A$2:$C$628,3,0)</f>
        <v>Summit Park</v>
      </c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</row>
    <row r="333">
      <c r="A333" s="13" t="b">
        <v>0</v>
      </c>
      <c r="B333" s="14" t="s">
        <v>570</v>
      </c>
      <c r="C333" s="13" t="str">
        <f>vlookup(B333,Vert_Mapper!$A$2:$C$567,2,0)</f>
        <v>Communications</v>
      </c>
      <c r="D333" s="13" t="str">
        <f>vlookup(B333,Vert_Mapper!$A$2:$C$567,3,0)</f>
        <v>Communications Technology</v>
      </c>
      <c r="E333" s="13" t="s">
        <v>26</v>
      </c>
      <c r="F333" s="13" t="s">
        <v>18</v>
      </c>
      <c r="G333" s="13" t="str">
        <f t="shared" si="1"/>
        <v>GROWTH PHASE</v>
      </c>
      <c r="H333" s="13" t="s">
        <v>100</v>
      </c>
      <c r="I333" s="16">
        <f>IFERROR(__xludf.DUMMYFUNCTION("ROUND(
  MAX(
    MIN(
      (
        (VALUE(INDEX(SPLIT(K333,""-""),1)) + VALUE(INDEX(SPLIT(K333,""-""),2))) / 2
      ) *
      IFS(
        L333&gt;0.4, 1.6,
        L333&gt;0.1, 1.3,
        L333&gt;=-0.05, 1,
        L333&gt;=-0.2, 0.85,
        TRUE, 0.7
     "&amp;" ),
      VALUE(INDEX(SPLIT(K333,""-""),2))
    ),
    VALUE(INDEX(SPLIT(K333,""-""),1))
  )
)"),163.0)</f>
        <v>163</v>
      </c>
      <c r="J333" s="17">
        <f>I333*(VLOOKUP(C333,'Rev_Mapping Table'!$A$1:$C$12,3,0))</f>
        <v>91932000</v>
      </c>
      <c r="K333" s="16" t="s">
        <v>32</v>
      </c>
      <c r="L333" s="18">
        <v>0.15</v>
      </c>
      <c r="M333" s="19" t="str">
        <f>VLOOKUP(B333,Master_Mapper!$A$2:$C$628,3,0)</f>
        <v>Route 2 Capital Partners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</row>
    <row r="334">
      <c r="A334" s="21" t="b">
        <v>0</v>
      </c>
      <c r="B334" s="31" t="s">
        <v>571</v>
      </c>
      <c r="C334" s="21" t="str">
        <f>vlookup(B334,Vert_Mapper!$A$2:$C$567,2,0)</f>
        <v>Information Technology</v>
      </c>
      <c r="D334" s="21" t="str">
        <f>vlookup(B334,Vert_Mapper!$A$2:$C$567,3,0)</f>
        <v>Software &amp; SaaS</v>
      </c>
      <c r="E334" s="21" t="s">
        <v>65</v>
      </c>
      <c r="F334" s="21" t="s">
        <v>18</v>
      </c>
      <c r="G334" s="21" t="str">
        <f t="shared" si="1"/>
        <v>GROWTH PHASE</v>
      </c>
      <c r="H334" s="21" t="s">
        <v>572</v>
      </c>
      <c r="I334" s="24">
        <f>IFERROR(__xludf.DUMMYFUNCTION("ROUND(
  MAX(
    MIN(
      (
        (VALUE(INDEX(SPLIT(K334,""-""),1)) + VALUE(INDEX(SPLIT(K334,""-""),2))) / 2
      ) *
      IFS(
        L334&gt;0.4, 1.6,
        L334&gt;0.1, 1.3,
        L334&gt;=-0.05, 1,
        L334&gt;=-0.2, 0.85,
        TRUE, 0.7
     "&amp;" ),
      VALUE(INDEX(SPLIT(K334,""-""),2))
    ),
    VALUE(INDEX(SPLIT(K334,""-""),1))
  )
)"),31.0)</f>
        <v>31</v>
      </c>
      <c r="J334" s="25">
        <f>I334*(VLOOKUP(C334,'Rev_Mapping Table'!$A$1:$C$12,3,0))</f>
        <v>17484000</v>
      </c>
      <c r="K334" s="24" t="s">
        <v>25</v>
      </c>
      <c r="L334" s="26">
        <v>0.06</v>
      </c>
      <c r="M334" s="27" t="str">
        <f>VLOOKUP(B334,Master_Mapper!$A$2:$C$628,3,0)</f>
        <v>Halifax Group</v>
      </c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</row>
    <row r="335">
      <c r="A335" s="13" t="b">
        <v>0</v>
      </c>
      <c r="B335" s="14" t="s">
        <v>573</v>
      </c>
      <c r="C335" s="13" t="str">
        <f>vlookup(B335,Vert_Mapper!$A$2:$C$567,2,0)</f>
        <v>Healthcare</v>
      </c>
      <c r="D335" s="13" t="str">
        <f>vlookup(B335,Vert_Mapper!$A$2:$C$567,3,0)</f>
        <v>Biotechnology &amp; Pharmaceuticals</v>
      </c>
      <c r="E335" s="13" t="s">
        <v>26</v>
      </c>
      <c r="F335" s="13" t="s">
        <v>18</v>
      </c>
      <c r="G335" s="13" t="str">
        <f t="shared" si="1"/>
        <v>DECLINING</v>
      </c>
      <c r="H335" s="13" t="s">
        <v>574</v>
      </c>
      <c r="I335" s="16">
        <f>IFERROR(__xludf.DUMMYFUNCTION("ROUND(
  MAX(
    MIN(
      (
        (VALUE(INDEX(SPLIT(K335,""-""),1)) + VALUE(INDEX(SPLIT(K335,""-""),2))) / 2
      ) *
      IFS(
        L335&gt;0.4, 1.6,
        L335&gt;0.1, 1.3,
        L335&gt;=-0.05, 1,
        L335&gt;=-0.2, 0.85,
        TRUE, 0.7
     "&amp;" ),
      VALUE(INDEX(SPLIT(K335,""-""),2))
    ),
    VALUE(INDEX(SPLIT(K335,""-""),1))
  )
)"),26.0)</f>
        <v>26</v>
      </c>
      <c r="J335" s="17">
        <f>I335*(VLOOKUP(C335,'Rev_Mapping Table'!$A$1:$C$12,3,0))</f>
        <v>14456000</v>
      </c>
      <c r="K335" s="16" t="s">
        <v>25</v>
      </c>
      <c r="L335" s="18">
        <v>-0.16</v>
      </c>
      <c r="M335" s="19" t="str">
        <f>VLOOKUP(B335,Master_Mapper!$A$2:$C$628,3,0)</f>
        <v>NovaQuest Capital Mgmt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</row>
    <row r="336">
      <c r="A336" s="21" t="b">
        <v>0</v>
      </c>
      <c r="B336" s="31" t="s">
        <v>575</v>
      </c>
      <c r="C336" s="21" t="str">
        <f>vlookup(B336,Vert_Mapper!$A$2:$C$567,2,0)</f>
        <v>Information Technology</v>
      </c>
      <c r="D336" s="21" t="str">
        <f>vlookup(B336,Vert_Mapper!$A$2:$C$567,3,0)</f>
        <v>Software &amp; SaaS</v>
      </c>
      <c r="E336" s="21" t="s">
        <v>26</v>
      </c>
      <c r="F336" s="21" t="s">
        <v>18</v>
      </c>
      <c r="G336" s="21" t="str">
        <f t="shared" si="1"/>
        <v>DECLINING</v>
      </c>
      <c r="H336" s="21" t="s">
        <v>367</v>
      </c>
      <c r="I336" s="24">
        <f>IFERROR(__xludf.DUMMYFUNCTION("ROUND(
  MAX(
    MIN(
      (
        (VALUE(INDEX(SPLIT(K336,""-""),1)) + VALUE(INDEX(SPLIT(K336,""-""),2))) / 2
      ) *
      IFS(
        L336&gt;0.4, 1.6,
        L336&gt;0.1, 1.3,
        L336&gt;=-0.05, 1,
        L336&gt;=-0.2, 0.85,
        TRUE, 0.7
     "&amp;" ),
      VALUE(INDEX(SPLIT(K336,""-""),2))
    ),
    VALUE(INDEX(SPLIT(K336,""-""),1))
  )
)"),126.0)</f>
        <v>126</v>
      </c>
      <c r="J336" s="25">
        <f>I336*(VLOOKUP(C336,'Rev_Mapping Table'!$A$1:$C$12,3,0))</f>
        <v>71064000</v>
      </c>
      <c r="K336" s="24" t="s">
        <v>32</v>
      </c>
      <c r="L336" s="26">
        <v>-0.03</v>
      </c>
      <c r="M336" s="27" t="str">
        <f>VLOOKUP(B336,Master_Mapper!$A$2:$C$628,3,0)</f>
        <v>Pamlico Capital</v>
      </c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</row>
    <row r="337">
      <c r="A337" s="13" t="b">
        <v>0</v>
      </c>
      <c r="B337" s="14" t="s">
        <v>576</v>
      </c>
      <c r="C337" s="13" t="str">
        <f>vlookup(B337,Vert_Mapper!$A$2:$C$567,2,0)</f>
        <v>Industrials</v>
      </c>
      <c r="D337" s="13" t="str">
        <f>vlookup(B337,Vert_Mapper!$A$2:$C$567,3,0)</f>
        <v>Manufacturing &amp; Processing</v>
      </c>
      <c r="E337" s="13" t="s">
        <v>26</v>
      </c>
      <c r="F337" s="13" t="s">
        <v>18</v>
      </c>
      <c r="G337" s="13" t="str">
        <f t="shared" si="1"/>
        <v>FLAT TO NEUTRAL</v>
      </c>
      <c r="H337" s="13" t="s">
        <v>577</v>
      </c>
      <c r="I337" s="16">
        <f>IFERROR(__xludf.DUMMYFUNCTION("ROUND(
  MAX(
    MIN(
      (
        (VALUE(INDEX(SPLIT(K337,""-""),1)) + VALUE(INDEX(SPLIT(K337,""-""),2))) / 2
      ) *
      IFS(
        L337&gt;0.4, 1.6,
        L337&gt;0.1, 1.3,
        L337&gt;=-0.05, 1,
        L337&gt;=-0.2, 0.85,
        TRUE, 0.7
     "&amp;" ),
      VALUE(INDEX(SPLIT(K337,""-""),2))
    ),
    VALUE(INDEX(SPLIT(K337,""-""),1))
  )
)"),751.0)</f>
        <v>751</v>
      </c>
      <c r="J337" s="17">
        <f>I337*(VLOOKUP(C337,'Rev_Mapping Table'!$A$1:$C$12,3,0))</f>
        <v>370243000</v>
      </c>
      <c r="K337" s="16" t="s">
        <v>54</v>
      </c>
      <c r="L337" s="18">
        <v>0.02</v>
      </c>
      <c r="M337" s="19" t="str">
        <f>VLOOKUP(B337,Master_Mapper!$A$2:$C$628,3,0)</f>
        <v>Monomoy Capital Partners</v>
      </c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</row>
    <row r="338">
      <c r="A338" s="21" t="b">
        <v>0</v>
      </c>
      <c r="B338" s="31" t="s">
        <v>578</v>
      </c>
      <c r="C338" s="21" t="str">
        <f>vlookup(B338,Vert_Mapper!$A$2:$C$567,2,0)</f>
        <v>Real Estate</v>
      </c>
      <c r="D338" s="21" t="str">
        <f>vlookup(B338,Vert_Mapper!$A$2:$C$567,3,0)</f>
        <v>Hospitality &amp; Resorts</v>
      </c>
      <c r="E338" s="21" t="s">
        <v>26</v>
      </c>
      <c r="F338" s="21" t="s">
        <v>18</v>
      </c>
      <c r="G338" s="21" t="str">
        <f t="shared" si="1"/>
        <v>HYPERGROWTH</v>
      </c>
      <c r="H338" s="21" t="s">
        <v>131</v>
      </c>
      <c r="I338" s="24" t="str">
        <f>IFERROR(__xludf.DUMMYFUNCTION("ROUND(
  MAX(
    MIN(
      (
        (VALUE(INDEX(SPLIT(K338,""-""),1)) + VALUE(INDEX(SPLIT(K338,""-""),2))) / 2
      ) *
      IFS(
        L338&gt;0.4, 1.6,
        L338&gt;0.1, 1.3,
        L338&gt;=-0.05, 1,
        L338&gt;=-0.2, 0.85,
        TRUE, 0.7
     "&amp;" ),
      VALUE(INDEX(SPLIT(K338,""-""),2))
    ),
    VALUE(INDEX(SPLIT(K338,""-""),1))
  )
)"),"#VALUE!")</f>
        <v>#VALUE!</v>
      </c>
      <c r="J338" s="25" t="str">
        <f>I338*(VLOOKUP(C338,'Rev_Mapping Table'!$A$1:$C$12,3,0))</f>
        <v>#VALUE!</v>
      </c>
      <c r="K338" s="35" t="s">
        <v>131</v>
      </c>
      <c r="L338" s="35" t="s">
        <v>131</v>
      </c>
      <c r="M338" s="27" t="str">
        <f>VLOOKUP(B338,Master_Mapper!$A$2:$C$628,3,0)</f>
        <v>Harbor Island Equity Partners</v>
      </c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</row>
    <row r="339">
      <c r="A339" s="13" t="b">
        <v>0</v>
      </c>
      <c r="B339" s="14" t="s">
        <v>579</v>
      </c>
      <c r="C339" s="13" t="str">
        <f>vlookup(B339,Vert_Mapper!$A$2:$C$567,2,0)</f>
        <v>Financials</v>
      </c>
      <c r="D339" s="13" t="str">
        <f>vlookup(B339,Vert_Mapper!$A$2:$C$567,3,0)</f>
        <v>Financial Technology &amp; Investment Services</v>
      </c>
      <c r="E339" s="13" t="s">
        <v>26</v>
      </c>
      <c r="F339" s="13" t="s">
        <v>18</v>
      </c>
      <c r="G339" s="13" t="str">
        <f t="shared" si="1"/>
        <v>DECLINING</v>
      </c>
      <c r="H339" s="13" t="s">
        <v>580</v>
      </c>
      <c r="I339" s="16">
        <f>IFERROR(__xludf.DUMMYFUNCTION("ROUND(
  MAX(
    MIN(
      (
        (VALUE(INDEX(SPLIT(K339,""-""),1)) + VALUE(INDEX(SPLIT(K339,""-""),2))) / 2
      ) *
      IFS(
        L339&gt;0.4, 1.6,
        L339&gt;0.1, 1.3,
        L339&gt;=-0.05, 1,
        L339&gt;=-0.2, 0.85,
        TRUE, 0.7
     "&amp;" ),
      VALUE(INDEX(SPLIT(K339,""-""),2))
    ),
    VALUE(INDEX(SPLIT(K339,""-""),1))
  )
)"),5.0)</f>
        <v>5</v>
      </c>
      <c r="J339" s="17">
        <f>I339*(VLOOKUP(C339,'Rev_Mapping Table'!$A$1:$C$12,3,0))</f>
        <v>4525000</v>
      </c>
      <c r="K339" s="30">
        <v>45698.0</v>
      </c>
      <c r="L339" s="18">
        <v>-0.1</v>
      </c>
      <c r="M339" s="19" t="str">
        <f>VLOOKUP(B339,Master_Mapper!$A$2:$C$628,3,0)</f>
        <v>Vibora Capital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</row>
    <row r="340">
      <c r="A340" s="21" t="b">
        <v>0</v>
      </c>
      <c r="B340" s="31" t="s">
        <v>581</v>
      </c>
      <c r="C340" s="21" t="str">
        <f>vlookup(B340,Vert_Mapper!$A$2:$C$567,2,0)</f>
        <v>Real Estate</v>
      </c>
      <c r="D340" s="21" t="str">
        <f>vlookup(B340,Vert_Mapper!$A$2:$C$567,3,0)</f>
        <v>Hospitality &amp; Resorts</v>
      </c>
      <c r="E340" s="21" t="s">
        <v>26</v>
      </c>
      <c r="F340" s="21" t="s">
        <v>18</v>
      </c>
      <c r="G340" s="21" t="str">
        <f t="shared" si="1"/>
        <v>GROWTH PHASE</v>
      </c>
      <c r="H340" s="21" t="s">
        <v>83</v>
      </c>
      <c r="I340" s="24">
        <f>IFERROR(__xludf.DUMMYFUNCTION("ROUND(
  MAX(
    MIN(
      (
        (VALUE(INDEX(SPLIT(K340,""-""),1)) + VALUE(INDEX(SPLIT(K340,""-""),2))) / 2
      ) *
      IFS(
        L340&gt;0.4, 1.6,
        L340&gt;0.1, 1.3,
        L340&gt;=-0.05, 1,
        L340&gt;=-0.2, 0.85,
        TRUE, 0.7
     "&amp;" ),
      VALUE(INDEX(SPLIT(K340,""-""),2))
    ),
    VALUE(INDEX(SPLIT(K340,""-""),1))
  )
)"),126.0)</f>
        <v>126</v>
      </c>
      <c r="J340" s="25">
        <f>I340*(VLOOKUP(C340,'Rev_Mapping Table'!$A$1:$C$12,3,0))</f>
        <v>57960000</v>
      </c>
      <c r="K340" s="24" t="s">
        <v>32</v>
      </c>
      <c r="L340" s="26">
        <v>0.05</v>
      </c>
      <c r="M340" s="27" t="str">
        <f>VLOOKUP(B340,Master_Mapper!$A$2:$C$628,3,0)</f>
        <v>Cerity Partners</v>
      </c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</row>
    <row r="341">
      <c r="A341" s="13" t="b">
        <v>0</v>
      </c>
      <c r="B341" s="14" t="s">
        <v>582</v>
      </c>
      <c r="C341" s="13" t="str">
        <f>vlookup(B341,Vert_Mapper!$A$2:$C$567,2,0)</f>
        <v>Communications</v>
      </c>
      <c r="D341" s="13" t="str">
        <f>vlookup(B341,Vert_Mapper!$A$2:$C$567,3,0)</f>
        <v>Media &amp; Entertainment</v>
      </c>
      <c r="E341" s="13" t="s">
        <v>26</v>
      </c>
      <c r="F341" s="13" t="s">
        <v>18</v>
      </c>
      <c r="G341" s="13" t="str">
        <f t="shared" si="1"/>
        <v>FLAT TO NEUTRAL</v>
      </c>
      <c r="H341" s="13" t="s">
        <v>583</v>
      </c>
      <c r="I341" s="16">
        <f>IFERROR(__xludf.DUMMYFUNCTION("ROUND(
  MAX(
    MIN(
      (
        (VALUE(INDEX(SPLIT(K341,""-""),1)) + VALUE(INDEX(SPLIT(K341,""-""),2))) / 2
      ) *
      IFS(
        L341&gt;0.4, 1.6,
        L341&gt;0.1, 1.3,
        L341&gt;=-0.05, 1,
        L341&gt;=-0.2, 0.85,
        TRUE, 0.7
     "&amp;" ),
      VALUE(INDEX(SPLIT(K341,""-""),2))
    ),
    VALUE(INDEX(SPLIT(K341,""-""),1))
  )
)"),6.0)</f>
        <v>6</v>
      </c>
      <c r="J341" s="17">
        <f>I341*(VLOOKUP(C341,'Rev_Mapping Table'!$A$1:$C$12,3,0))</f>
        <v>3384000</v>
      </c>
      <c r="K341" s="30">
        <v>45698.0</v>
      </c>
      <c r="L341" s="18">
        <v>0.0</v>
      </c>
      <c r="M341" s="19" t="str">
        <f>VLOOKUP(B341,Master_Mapper!$A$2:$C$628,3,0)</f>
        <v>Frontier Growth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</row>
    <row r="342">
      <c r="A342" s="21" t="b">
        <v>0</v>
      </c>
      <c r="B342" s="31" t="s">
        <v>584</v>
      </c>
      <c r="C342" s="21" t="str">
        <f>vlookup(B342,Vert_Mapper!$A$2:$C$567,2,0)</f>
        <v>Consumer Staples</v>
      </c>
      <c r="D342" s="21" t="str">
        <f>vlookup(B342,Vert_Mapper!$A$2:$C$567,3,0)</f>
        <v>Food &amp; Beverage Manufacturing</v>
      </c>
      <c r="E342" s="21" t="s">
        <v>26</v>
      </c>
      <c r="F342" s="21" t="s">
        <v>18</v>
      </c>
      <c r="G342" s="21" t="str">
        <f t="shared" si="1"/>
        <v>GROWTH PHASE</v>
      </c>
      <c r="H342" s="21" t="s">
        <v>356</v>
      </c>
      <c r="I342" s="24">
        <f>IFERROR(__xludf.DUMMYFUNCTION("ROUND(
  MAX(
    MIN(
      (
        (VALUE(INDEX(SPLIT(K342,""-""),1)) + VALUE(INDEX(SPLIT(K342,""-""),2))) / 2
      ) *
      IFS(
        L342&gt;0.4, 1.6,
        L342&gt;0.1, 1.3,
        L342&gt;=-0.05, 1,
        L342&gt;=-0.2, 0.85,
        TRUE, 0.7
     "&amp;" ),
      VALUE(INDEX(SPLIT(K342,""-""),2))
    ),
    VALUE(INDEX(SPLIT(K342,""-""),1))
  )
)"),163.0)</f>
        <v>163</v>
      </c>
      <c r="J342" s="25">
        <f>I342*(VLOOKUP(C342,'Rev_Mapping Table'!$A$1:$C$12,3,0))</f>
        <v>90628000</v>
      </c>
      <c r="K342" s="24" t="s">
        <v>32</v>
      </c>
      <c r="L342" s="26">
        <v>0.14</v>
      </c>
      <c r="M342" s="27" t="str">
        <f>VLOOKUP(B342,Master_Mapper!$A$2:$C$628,3,0)</f>
        <v>Cerity Partners</v>
      </c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</row>
    <row r="343">
      <c r="A343" s="13" t="b">
        <v>0</v>
      </c>
      <c r="B343" s="14" t="s">
        <v>585</v>
      </c>
      <c r="C343" s="13" t="str">
        <f>vlookup(B343,Vert_Mapper!$A$2:$C$567,2,0)</f>
        <v>Consumer Staples</v>
      </c>
      <c r="D343" s="13" t="str">
        <f>vlookup(B343,Vert_Mapper!$A$2:$C$567,3,0)</f>
        <v>Food &amp; Beverage Manufacturing</v>
      </c>
      <c r="E343" s="13" t="s">
        <v>26</v>
      </c>
      <c r="F343" s="13" t="s">
        <v>18</v>
      </c>
      <c r="G343" s="13" t="str">
        <f t="shared" si="1"/>
        <v>SEVERELY NEGATIVE</v>
      </c>
      <c r="H343" s="13" t="s">
        <v>443</v>
      </c>
      <c r="I343" s="16">
        <f>IFERROR(__xludf.DUMMYFUNCTION("ROUND(
  MAX(
    MIN(
      (
        (VALUE(INDEX(SPLIT(K343,""-""),1)) + VALUE(INDEX(SPLIT(K343,""-""),2))) / 2
      ) *
      IFS(
        L343&gt;0.4, 1.6,
        L343&gt;0.1, 1.3,
        L343&gt;=-0.05, 1,
        L343&gt;=-0.2, 0.85,
        TRUE, 0.7
     "&amp;" ),
      VALUE(INDEX(SPLIT(K343,""-""),2))
    ),
    VALUE(INDEX(SPLIT(K343,""-""),1))
  )
)"),4.0)</f>
        <v>4</v>
      </c>
      <c r="J343" s="17">
        <f>I343*(VLOOKUP(C343,'Rev_Mapping Table'!$A$1:$C$12,3,0))</f>
        <v>2224000</v>
      </c>
      <c r="K343" s="30">
        <v>45698.0</v>
      </c>
      <c r="L343" s="18">
        <v>-0.37</v>
      </c>
      <c r="M343" s="19" t="str">
        <f>VLOOKUP(B343,Master_Mapper!$A$2:$C$628,3,0)</f>
        <v>VentureSouth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</row>
    <row r="344">
      <c r="A344" s="21" t="b">
        <v>0</v>
      </c>
      <c r="B344" s="31" t="s">
        <v>586</v>
      </c>
      <c r="C344" s="21" t="str">
        <f>vlookup(B344,Vert_Mapper!$A$2:$C$567,2,0)</f>
        <v>Information Technology</v>
      </c>
      <c r="D344" s="21" t="str">
        <f>vlookup(B344,Vert_Mapper!$A$2:$C$567,3,0)</f>
        <v>Automotive Technology</v>
      </c>
      <c r="E344" s="21" t="s">
        <v>26</v>
      </c>
      <c r="F344" s="21" t="s">
        <v>18</v>
      </c>
      <c r="G344" s="21" t="str">
        <f t="shared" si="1"/>
        <v>DECLINING</v>
      </c>
      <c r="H344" s="21" t="s">
        <v>587</v>
      </c>
      <c r="I344" s="24">
        <f>IFERROR(__xludf.DUMMYFUNCTION("ROUND(
  MAX(
    MIN(
      (
        (VALUE(INDEX(SPLIT(K344,""-""),1)) + VALUE(INDEX(SPLIT(K344,""-""),2))) / 2
      ) *
      IFS(
        L344&gt;0.4, 1.6,
        L344&gt;0.1, 1.3,
        L344&gt;=-0.05, 1,
        L344&gt;=-0.2, 0.85,
        TRUE, 0.7
     "&amp;" ),
      VALUE(INDEX(SPLIT(K344,""-""),2))
    ),
    VALUE(INDEX(SPLIT(K344,""-""),1))
  )
)"),107.0)</f>
        <v>107</v>
      </c>
      <c r="J344" s="25">
        <f>I344*(VLOOKUP(C344,'Rev_Mapping Table'!$A$1:$C$12,3,0))</f>
        <v>60348000</v>
      </c>
      <c r="K344" s="24" t="s">
        <v>32</v>
      </c>
      <c r="L344" s="26">
        <v>-0.11</v>
      </c>
      <c r="M344" s="27" t="str">
        <f>VLOOKUP(B344,Master_Mapper!$A$2:$C$628,3,0)</f>
        <v>Cerity Partners</v>
      </c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</row>
    <row r="345">
      <c r="A345" s="13" t="b">
        <v>0</v>
      </c>
      <c r="B345" s="14" t="s">
        <v>588</v>
      </c>
      <c r="C345" s="13" t="str">
        <f>vlookup(B345,Vert_Mapper!$A$2:$C$567,2,0)</f>
        <v>Consumer Discretionary</v>
      </c>
      <c r="D345" s="13" t="str">
        <f>vlookup(B345,Vert_Mapper!$A$2:$C$567,3,0)</f>
        <v>Business Services</v>
      </c>
      <c r="E345" s="13" t="s">
        <v>26</v>
      </c>
      <c r="F345" s="13" t="s">
        <v>18</v>
      </c>
      <c r="G345" s="13" t="str">
        <f t="shared" si="1"/>
        <v>ACCELERATED GROWTH</v>
      </c>
      <c r="H345" s="13" t="s">
        <v>589</v>
      </c>
      <c r="I345" s="16">
        <f>IFERROR(__xludf.DUMMYFUNCTION("ROUND(
  MAX(
    MIN(
      (
        (VALUE(INDEX(SPLIT(K345,""-""),1)) + VALUE(INDEX(SPLIT(K345,""-""),2))) / 2
      ) *
      IFS(
        L345&gt;0.4, 1.6,
        L345&gt;0.1, 1.3,
        L345&gt;=-0.05, 1,
        L345&gt;=-0.2, 0.85,
        TRUE, 0.7
     "&amp;" ),
      VALUE(INDEX(SPLIT(K345,""-""),2))
    ),
    VALUE(INDEX(SPLIT(K345,""-""),1))
  )
)"),40.0)</f>
        <v>40</v>
      </c>
      <c r="J345" s="17">
        <f>I345*(VLOOKUP(C345,'Rev_Mapping Table'!$A$1:$C$12,3,0))</f>
        <v>20480000</v>
      </c>
      <c r="K345" s="16" t="s">
        <v>25</v>
      </c>
      <c r="L345" s="18">
        <v>0.38</v>
      </c>
      <c r="M345" s="19" t="str">
        <f>VLOOKUP(B345,Master_Mapper!$A$2:$C$628,3,0)</f>
        <v>Route 2 Capital Partners</v>
      </c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</row>
    <row r="346">
      <c r="A346" s="21" t="b">
        <v>0</v>
      </c>
      <c r="B346" s="31" t="s">
        <v>590</v>
      </c>
      <c r="C346" s="21" t="str">
        <f>vlookup(B346,Vert_Mapper!$A$2:$C$567,2,0)</f>
        <v>Industrials</v>
      </c>
      <c r="D346" s="21" t="str">
        <f>vlookup(B346,Vert_Mapper!$A$2:$C$567,3,0)</f>
        <v>Home Services / Construction / Industrial Services</v>
      </c>
      <c r="E346" s="21" t="s">
        <v>29</v>
      </c>
      <c r="F346" s="21" t="s">
        <v>34</v>
      </c>
      <c r="G346" s="21" t="str">
        <f t="shared" si="1"/>
        <v>GROWTH PHASE</v>
      </c>
      <c r="H346" s="21" t="s">
        <v>228</v>
      </c>
      <c r="I346" s="24">
        <f>IFERROR(__xludf.DUMMYFUNCTION("ROUND(
  MAX(
    MIN(
      (
        (VALUE(INDEX(SPLIT(K346,""-""),1)) + VALUE(INDEX(SPLIT(K346,""-""),2))) / 2
      ) *
      IFS(
        L346&gt;0.4, 1.6,
        L346&gt;0.1, 1.3,
        L346&gt;=-0.05, 1,
        L346&gt;=-0.2, 0.85,
        TRUE, 0.7
     "&amp;" ),
      VALUE(INDEX(SPLIT(K346,""-""),2))
    ),
    VALUE(INDEX(SPLIT(K346,""-""),1))
  )
)"),9751.0)</f>
        <v>9751</v>
      </c>
      <c r="J346" s="25">
        <f>I346*(VLOOKUP(C346,'Rev_Mapping Table'!$A$1:$C$12,3,0))</f>
        <v>4807243000</v>
      </c>
      <c r="K346" s="24" t="s">
        <v>81</v>
      </c>
      <c r="L346" s="26">
        <v>0.13</v>
      </c>
      <c r="M346" s="27" t="str">
        <f>VLOOKUP(B346,Master_Mapper!$A$2:$C$628,3,0)</f>
        <v>Succession Capital Partners</v>
      </c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</row>
    <row r="347">
      <c r="A347" s="13" t="b">
        <v>0</v>
      </c>
      <c r="B347" s="14" t="s">
        <v>591</v>
      </c>
      <c r="C347" s="13" t="str">
        <f>vlookup(B347,Vert_Mapper!$A$2:$C$567,2,0)</f>
        <v>Healthcare</v>
      </c>
      <c r="D347" s="13" t="str">
        <f>vlookup(B347,Vert_Mapper!$A$2:$C$567,3,0)</f>
        <v>Biotechnology &amp; Pharmaceuticals</v>
      </c>
      <c r="E347" s="13" t="s">
        <v>85</v>
      </c>
      <c r="F347" s="13" t="s">
        <v>86</v>
      </c>
      <c r="G347" s="13" t="str">
        <f t="shared" si="1"/>
        <v>FLAT TO NEUTRAL</v>
      </c>
      <c r="H347" s="13" t="s">
        <v>510</v>
      </c>
      <c r="I347" s="16">
        <f>IFERROR(__xludf.DUMMYFUNCTION("ROUND(
  MAX(
    MIN(
      (
        (VALUE(INDEX(SPLIT(K347,""-""),1)) + VALUE(INDEX(SPLIT(K347,""-""),2))) / 2
      ) *
      IFS(
        L347&gt;0.4, 1.6,
        L347&gt;0.1, 1.3,
        L347&gt;=-0.05, 1,
        L347&gt;=-0.2, 0.85,
        TRUE, 0.7
     "&amp;" ),
      VALUE(INDEX(SPLIT(K347,""-""),2))
    ),
    VALUE(INDEX(SPLIT(K347,""-""),1))
  )
)"),3001.0)</f>
        <v>3001</v>
      </c>
      <c r="J347" s="17">
        <f>I347*(VLOOKUP(C347,'Rev_Mapping Table'!$A$1:$C$12,3,0))</f>
        <v>1668556000</v>
      </c>
      <c r="K347" s="16" t="s">
        <v>96</v>
      </c>
      <c r="L347" s="18">
        <v>0.01</v>
      </c>
      <c r="M347" s="19" t="str">
        <f>VLOOKUP(B347,Master_Mapper!$A$2:$C$628,3,0)</f>
        <v>NovaQuest Capital Mgmt</v>
      </c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</row>
    <row r="348">
      <c r="A348" s="21" t="b">
        <v>0</v>
      </c>
      <c r="B348" s="31" t="s">
        <v>592</v>
      </c>
      <c r="C348" s="21" t="str">
        <f>vlookup(B348,Vert_Mapper!$A$2:$C$567,2,0)</f>
        <v>Information Technology</v>
      </c>
      <c r="D348" s="21" t="str">
        <f>vlookup(B348,Vert_Mapper!$A$2:$C$567,3,0)</f>
        <v>Software &amp; SaaS</v>
      </c>
      <c r="E348" s="21" t="s">
        <v>26</v>
      </c>
      <c r="F348" s="21" t="s">
        <v>18</v>
      </c>
      <c r="G348" s="21" t="str">
        <f t="shared" si="1"/>
        <v>GROWTH PHASE</v>
      </c>
      <c r="H348" s="21" t="s">
        <v>83</v>
      </c>
      <c r="I348" s="24">
        <f>IFERROR(__xludf.DUMMYFUNCTION("ROUND(
  MAX(
    MIN(
      (
        (VALUE(INDEX(SPLIT(K348,""-""),1)) + VALUE(INDEX(SPLIT(K348,""-""),2))) / 2
      ) *
      IFS(
        L348&gt;0.4, 1.6,
        L348&gt;0.1, 1.3,
        L348&gt;=-0.05, 1,
        L348&gt;=-0.2, 0.85,
        TRUE, 0.7
     "&amp;" ),
      VALUE(INDEX(SPLIT(K348,""-""),2))
    ),
    VALUE(INDEX(SPLIT(K348,""-""),1))
  )
)"),163.0)</f>
        <v>163</v>
      </c>
      <c r="J348" s="25">
        <f>I348*(VLOOKUP(C348,'Rev_Mapping Table'!$A$1:$C$12,3,0))</f>
        <v>91932000</v>
      </c>
      <c r="K348" s="24" t="s">
        <v>32</v>
      </c>
      <c r="L348" s="26">
        <v>0.18</v>
      </c>
      <c r="M348" s="27" t="str">
        <f>VLOOKUP(B348,Master_Mapper!$A$2:$C$628,3,0)</f>
        <v>Falfurrias Capital Partners</v>
      </c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</row>
    <row r="349">
      <c r="A349" s="13" t="b">
        <v>0</v>
      </c>
      <c r="B349" s="14" t="s">
        <v>593</v>
      </c>
      <c r="C349" s="13" t="str">
        <f>vlookup(B349,Vert_Mapper!$A$2:$C$567,2,0)</f>
        <v>Consumer Staples</v>
      </c>
      <c r="D349" s="13" t="str">
        <f>vlookup(B349,Vert_Mapper!$A$2:$C$567,3,0)</f>
        <v>Food &amp; Beverage Manufacturing</v>
      </c>
      <c r="E349" s="13" t="s">
        <v>65</v>
      </c>
      <c r="F349" s="13" t="s">
        <v>18</v>
      </c>
      <c r="G349" s="13" t="str">
        <f t="shared" si="1"/>
        <v>GROWTH PHASE</v>
      </c>
      <c r="H349" s="13" t="s">
        <v>594</v>
      </c>
      <c r="I349" s="16">
        <f>IFERROR(__xludf.DUMMYFUNCTION("ROUND(
  MAX(
    MIN(
      (
        (VALUE(INDEX(SPLIT(K349,""-""),1)) + VALUE(INDEX(SPLIT(K349,""-""),2))) / 2
      ) *
      IFS(
        L349&gt;0.4, 1.6,
        L349&gt;0.1, 1.3,
        L349&gt;=-0.05, 1,
        L349&gt;=-0.2, 0.85,
        TRUE, 0.7
     "&amp;" ),
      VALUE(INDEX(SPLIT(K349,""-""),2))
    ),
    VALUE(INDEX(SPLIT(K349,""-""),1))
  )
)"),126.0)</f>
        <v>126</v>
      </c>
      <c r="J349" s="17">
        <f>I349*(VLOOKUP(C349,'Rev_Mapping Table'!$A$1:$C$12,3,0))</f>
        <v>70056000</v>
      </c>
      <c r="K349" s="16" t="s">
        <v>32</v>
      </c>
      <c r="L349" s="18">
        <v>0.04</v>
      </c>
      <c r="M349" s="19" t="str">
        <f>VLOOKUP(B349,Master_Mapper!$A$2:$C$628,3,0)</f>
        <v>Cerity Partners</v>
      </c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</row>
    <row r="350">
      <c r="A350" s="21" t="b">
        <v>0</v>
      </c>
      <c r="B350" s="31" t="s">
        <v>595</v>
      </c>
      <c r="C350" s="21" t="str">
        <f>vlookup(B350,Vert_Mapper!$A$2:$C$567,2,0)</f>
        <v>Healthcare</v>
      </c>
      <c r="D350" s="21" t="str">
        <f>vlookup(B350,Vert_Mapper!$A$2:$C$567,3,0)</f>
        <v>Biotechnology &amp; Pharmaceuticals</v>
      </c>
      <c r="E350" s="21" t="s">
        <v>85</v>
      </c>
      <c r="F350" s="21" t="s">
        <v>86</v>
      </c>
      <c r="G350" s="21" t="str">
        <f t="shared" si="1"/>
        <v>DECLINING</v>
      </c>
      <c r="H350" s="21" t="s">
        <v>66</v>
      </c>
      <c r="I350" s="24">
        <f>IFERROR(__xludf.DUMMYFUNCTION("ROUND(
  MAX(
    MIN(
      (
        (VALUE(INDEX(SPLIT(K350,""-""),1)) + VALUE(INDEX(SPLIT(K350,""-""),2))) / 2
      ) *
      IFS(
        L350&gt;0.4, 1.6,
        L350&gt;0.1, 1.3,
        L350&gt;=-0.05, 1,
        L350&gt;=-0.2, 0.85,
        TRUE, 0.7
     "&amp;" ),
      VALUE(INDEX(SPLIT(K350,""-""),2))
    ),
    VALUE(INDEX(SPLIT(K350,""-""),1))
  )
)"),26.0)</f>
        <v>26</v>
      </c>
      <c r="J350" s="25">
        <f>I350*(VLOOKUP(C350,'Rev_Mapping Table'!$A$1:$C$12,3,0))</f>
        <v>14456000</v>
      </c>
      <c r="K350" s="24" t="s">
        <v>25</v>
      </c>
      <c r="L350" s="26">
        <v>-0.07</v>
      </c>
      <c r="M350" s="27" t="str">
        <f>VLOOKUP(B350,Master_Mapper!$A$2:$C$628,3,0)</f>
        <v>NovaQuest Capital Mgmt</v>
      </c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</row>
    <row r="351">
      <c r="A351" s="13" t="b">
        <v>0</v>
      </c>
      <c r="B351" s="14" t="s">
        <v>596</v>
      </c>
      <c r="C351" s="13" t="str">
        <f>vlookup(B351,Vert_Mapper!$A$2:$C$567,2,0)</f>
        <v>Healthcare</v>
      </c>
      <c r="D351" s="13" t="str">
        <f>vlookup(B351,Vert_Mapper!$A$2:$C$567,3,0)</f>
        <v>Healthcare Technology &amp; Analytics</v>
      </c>
      <c r="E351" s="13" t="s">
        <v>26</v>
      </c>
      <c r="F351" s="13" t="s">
        <v>18</v>
      </c>
      <c r="G351" s="13" t="str">
        <f t="shared" si="1"/>
        <v>DECLINING</v>
      </c>
      <c r="H351" s="13" t="s">
        <v>83</v>
      </c>
      <c r="I351" s="16">
        <f>IFERROR(__xludf.DUMMYFUNCTION("ROUND(
  MAX(
    MIN(
      (
        (VALUE(INDEX(SPLIT(K351,""-""),1)) + VALUE(INDEX(SPLIT(K351,""-""),2))) / 2
      ) *
      IFS(
        L351&gt;0.4, 1.6,
        L351&gt;0.1, 1.3,
        L351&gt;=-0.05, 1,
        L351&gt;=-0.2, 0.85,
        TRUE, 0.7
     "&amp;" ),
      VALUE(INDEX(SPLIT(K351,""-""),2))
    ),
    VALUE(INDEX(SPLIT(K351,""-""),1))
  )
)"),26.0)</f>
        <v>26</v>
      </c>
      <c r="J351" s="17">
        <f>I351*(VLOOKUP(C351,'Rev_Mapping Table'!$A$1:$C$12,3,0))</f>
        <v>14456000</v>
      </c>
      <c r="K351" s="16" t="s">
        <v>25</v>
      </c>
      <c r="L351" s="18">
        <v>-0.15</v>
      </c>
      <c r="M351" s="19" t="str">
        <f>VLOOKUP(B351,Master_Mapper!$A$2:$C$628,3,0)</f>
        <v>Cerity Partners</v>
      </c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</row>
    <row r="352">
      <c r="A352" s="21" t="b">
        <v>0</v>
      </c>
      <c r="B352" s="31" t="s">
        <v>597</v>
      </c>
      <c r="C352" s="21" t="str">
        <f>vlookup(B352,Vert_Mapper!$A$2:$C$567,2,0)</f>
        <v>Healthcare</v>
      </c>
      <c r="D352" s="21" t="str">
        <f>vlookup(B352,Vert_Mapper!$A$2:$C$567,3,0)</f>
        <v>Biotechnology &amp; Pharmaceuticals</v>
      </c>
      <c r="E352" s="21" t="s">
        <v>26</v>
      </c>
      <c r="F352" s="21" t="s">
        <v>18</v>
      </c>
      <c r="G352" s="21" t="str">
        <f t="shared" si="1"/>
        <v>DECLINING</v>
      </c>
      <c r="H352" s="21" t="s">
        <v>598</v>
      </c>
      <c r="I352" s="24">
        <f>IFERROR(__xludf.DUMMYFUNCTION("ROUND(
  MAX(
    MIN(
      (
        (VALUE(INDEX(SPLIT(K352,""-""),1)) + VALUE(INDEX(SPLIT(K352,""-""),2))) / 2
      ) *
      IFS(
        L352&gt;0.4, 1.6,
        L352&gt;0.1, 1.3,
        L352&gt;=-0.05, 1,
        L352&gt;=-0.2, 0.85,
        TRUE, 0.7
     "&amp;" ),
      VALUE(INDEX(SPLIT(K352,""-""),2))
    ),
    VALUE(INDEX(SPLIT(K352,""-""),1))
  )
)"),5.0)</f>
        <v>5</v>
      </c>
      <c r="J352" s="25">
        <f>I352*(VLOOKUP(C352,'Rev_Mapping Table'!$A$1:$C$12,3,0))</f>
        <v>2780000</v>
      </c>
      <c r="K352" s="32">
        <v>45698.0</v>
      </c>
      <c r="L352" s="26">
        <v>-0.1</v>
      </c>
      <c r="M352" s="27" t="str">
        <f>VLOOKUP(B352,Master_Mapper!$A$2:$C$628,3,0)</f>
        <v>NovaQuest Capital Mgmt</v>
      </c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</row>
    <row r="353">
      <c r="A353" s="13" t="b">
        <v>0</v>
      </c>
      <c r="B353" s="14" t="s">
        <v>599</v>
      </c>
      <c r="C353" s="13" t="str">
        <f>vlookup(B353,Vert_Mapper!$A$2:$C$567,2,0)</f>
        <v>Information Technology</v>
      </c>
      <c r="D353" s="13" t="str">
        <f>vlookup(B353,Vert_Mapper!$A$2:$C$567,3,0)</f>
        <v>Human Resources Technology</v>
      </c>
      <c r="E353" s="13" t="s">
        <v>26</v>
      </c>
      <c r="F353" s="13" t="s">
        <v>18</v>
      </c>
      <c r="G353" s="13" t="str">
        <f t="shared" si="1"/>
        <v>FLAT TO NEUTRAL</v>
      </c>
      <c r="H353" s="13" t="s">
        <v>548</v>
      </c>
      <c r="I353" s="16">
        <f>IFERROR(__xludf.DUMMYFUNCTION("ROUND(
  MAX(
    MIN(
      (
        (VALUE(INDEX(SPLIT(K353,""-""),1)) + VALUE(INDEX(SPLIT(K353,""-""),2))) / 2
      ) *
      IFS(
        L353&gt;0.4, 1.6,
        L353&gt;0.1, 1.3,
        L353&gt;=-0.05, 1,
        L353&gt;=-0.2, 0.85,
        TRUE, 0.7
     "&amp;" ),
      VALUE(INDEX(SPLIT(K353,""-""),2))
    ),
    VALUE(INDEX(SPLIT(K353,""-""),1))
  )
)"),751.0)</f>
        <v>751</v>
      </c>
      <c r="J353" s="17">
        <f>I353*(VLOOKUP(C353,'Rev_Mapping Table'!$A$1:$C$12,3,0))</f>
        <v>423564000</v>
      </c>
      <c r="K353" s="16" t="s">
        <v>54</v>
      </c>
      <c r="L353" s="18">
        <v>0.01</v>
      </c>
      <c r="M353" s="19" t="str">
        <f>VLOOKUP(B353,Master_Mapper!$A$2:$C$628,3,0)</f>
        <v>Frontier Growth</v>
      </c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</row>
    <row r="354">
      <c r="A354" s="21" t="b">
        <v>0</v>
      </c>
      <c r="B354" s="31" t="s">
        <v>600</v>
      </c>
      <c r="C354" s="21" t="str">
        <f>vlookup(B354,Vert_Mapper!$A$2:$C$567,2,0)</f>
        <v>Financials</v>
      </c>
      <c r="D354" s="21" t="str">
        <f>vlookup(B354,Vert_Mapper!$A$2:$C$567,3,0)</f>
        <v>Financial Services - Asset Finance</v>
      </c>
      <c r="E354" s="21" t="s">
        <v>79</v>
      </c>
      <c r="F354" s="21" t="s">
        <v>18</v>
      </c>
      <c r="G354" s="21" t="str">
        <f t="shared" si="1"/>
        <v>HYPERGROWTH</v>
      </c>
      <c r="H354" s="21" t="s">
        <v>131</v>
      </c>
      <c r="I354" s="24" t="str">
        <f>IFERROR(__xludf.DUMMYFUNCTION("ROUND(
  MAX(
    MIN(
      (
        (VALUE(INDEX(SPLIT(K354,""-""),1)) + VALUE(INDEX(SPLIT(K354,""-""),2))) / 2
      ) *
      IFS(
        L354&gt;0.4, 1.6,
        L354&gt;0.1, 1.3,
        L354&gt;=-0.05, 1,
        L354&gt;=-0.2, 0.85,
        TRUE, 0.7
     "&amp;" ),
      VALUE(INDEX(SPLIT(K354,""-""),2))
    ),
    VALUE(INDEX(SPLIT(K354,""-""),1))
  )
)"),"#VALUE!")</f>
        <v>#VALUE!</v>
      </c>
      <c r="J354" s="25" t="str">
        <f>I354*(VLOOKUP(C354,'Rev_Mapping Table'!$A$1:$C$12,3,0))</f>
        <v>#VALUE!</v>
      </c>
      <c r="K354" s="35" t="s">
        <v>131</v>
      </c>
      <c r="L354" s="35" t="s">
        <v>131</v>
      </c>
      <c r="M354" s="27" t="str">
        <f>VLOOKUP(B354,Master_Mapper!$A$2:$C$628,3,0)</f>
        <v>Falfurrias Capital Partners</v>
      </c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</row>
    <row r="355">
      <c r="A355" s="13" t="b">
        <v>0</v>
      </c>
      <c r="B355" s="14" t="s">
        <v>601</v>
      </c>
      <c r="C355" s="13" t="str">
        <f>vlookup(B355,Vert_Mapper!$A$2:$C$567,2,0)</f>
        <v>Real Estate</v>
      </c>
      <c r="D355" s="13" t="str">
        <f>vlookup(B355,Vert_Mapper!$A$2:$C$567,3,0)</f>
        <v>Hospitality &amp; Resorts</v>
      </c>
      <c r="E355" s="13" t="s">
        <v>175</v>
      </c>
      <c r="F355" s="13" t="s">
        <v>34</v>
      </c>
      <c r="G355" s="13" t="str">
        <f t="shared" si="1"/>
        <v>DECLINING</v>
      </c>
      <c r="H355" s="13" t="s">
        <v>602</v>
      </c>
      <c r="I355" s="16">
        <f>IFERROR(__xludf.DUMMYFUNCTION("ROUND(
  MAX(
    MIN(
      (
        (VALUE(INDEX(SPLIT(K355,""-""),1)) + VALUE(INDEX(SPLIT(K355,""-""),2))) / 2
      ) *
      IFS(
        L355&gt;0.4, 1.6,
        L355&gt;0.1, 1.3,
        L355&gt;=-0.05, 1,
        L355&gt;=-0.2, 0.85,
        TRUE, 0.7
     "&amp;" ),
      VALUE(INDEX(SPLIT(K355,""-""),2))
    ),
    VALUE(INDEX(SPLIT(K355,""-""),1))
  )
)"),351.0)</f>
        <v>351</v>
      </c>
      <c r="J355" s="17">
        <f>I355*(VLOOKUP(C355,'Rev_Mapping Table'!$A$1:$C$12,3,0))</f>
        <v>161460000</v>
      </c>
      <c r="K355" s="16" t="s">
        <v>20</v>
      </c>
      <c r="L355" s="18">
        <v>-0.02</v>
      </c>
      <c r="M355" s="19" t="str">
        <f>VLOOKUP(B355,Master_Mapper!$A$2:$C$628,3,0)</f>
        <v>South Street Partners (Charlotte)</v>
      </c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</row>
    <row r="356">
      <c r="A356" s="21" t="b">
        <v>0</v>
      </c>
      <c r="B356" s="31" t="s">
        <v>603</v>
      </c>
      <c r="C356" s="21" t="str">
        <f>vlookup(B356,Vert_Mapper!$A$2:$C$567,2,0)</f>
        <v>Consumer Discretionary</v>
      </c>
      <c r="D356" s="21" t="str">
        <f>vlookup(B356,Vert_Mapper!$A$2:$C$567,3,0)</f>
        <v>Restaurants &amp; Food Services</v>
      </c>
      <c r="E356" s="21" t="s">
        <v>26</v>
      </c>
      <c r="F356" s="21" t="s">
        <v>18</v>
      </c>
      <c r="G356" s="21" t="str">
        <f t="shared" si="1"/>
        <v>HYPERGROWTH</v>
      </c>
      <c r="H356" s="21" t="s">
        <v>131</v>
      </c>
      <c r="I356" s="24" t="str">
        <f>IFERROR(__xludf.DUMMYFUNCTION("ROUND(
  MAX(
    MIN(
      (
        (VALUE(INDEX(SPLIT(K356,""-""),1)) + VALUE(INDEX(SPLIT(K356,""-""),2))) / 2
      ) *
      IFS(
        L356&gt;0.4, 1.6,
        L356&gt;0.1, 1.3,
        L356&gt;=-0.05, 1,
        L356&gt;=-0.2, 0.85,
        TRUE, 0.7
     "&amp;" ),
      VALUE(INDEX(SPLIT(K356,""-""),2))
    ),
    VALUE(INDEX(SPLIT(K356,""-""),1))
  )
)"),"#VALUE!")</f>
        <v>#VALUE!</v>
      </c>
      <c r="J356" s="25" t="str">
        <f>I356*(VLOOKUP(C356,'Rev_Mapping Table'!$A$1:$C$12,3,0))</f>
        <v>#VALUE!</v>
      </c>
      <c r="K356" s="35" t="s">
        <v>131</v>
      </c>
      <c r="L356" s="35" t="s">
        <v>131</v>
      </c>
      <c r="M356" s="27" t="str">
        <f>VLOOKUP(B356,Master_Mapper!$A$2:$C$628,3,0)</f>
        <v>Hargett Hunter</v>
      </c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</row>
    <row r="357">
      <c r="A357" s="13" t="b">
        <v>0</v>
      </c>
      <c r="B357" s="14" t="s">
        <v>604</v>
      </c>
      <c r="C357" s="13" t="str">
        <f>vlookup(B357,Vert_Mapper!$A$2:$C$567,2,0)</f>
        <v>Materials</v>
      </c>
      <c r="D357" s="13" t="str">
        <f>vlookup(B357,Vert_Mapper!$A$2:$C$567,3,0)</f>
        <v>Advanced Materials</v>
      </c>
      <c r="E357" s="13" t="s">
        <v>26</v>
      </c>
      <c r="F357" s="13" t="s">
        <v>18</v>
      </c>
      <c r="G357" s="13" t="str">
        <f t="shared" si="1"/>
        <v>ACCELERATED GROWTH</v>
      </c>
      <c r="H357" s="13" t="s">
        <v>605</v>
      </c>
      <c r="I357" s="16">
        <f>IFERROR(__xludf.DUMMYFUNCTION("ROUND(
  MAX(
    MIN(
      (
        (VALUE(INDEX(SPLIT(K357,""-""),1)) + VALUE(INDEX(SPLIT(K357,""-""),2))) / 2
      ) *
      IFS(
        L357&gt;0.4, 1.6,
        L357&gt;0.1, 1.3,
        L357&gt;=-0.05, 1,
        L357&gt;=-0.2, 0.85,
        TRUE, 0.7
     "&amp;" ),
      VALUE(INDEX(SPLIT(K357,""-""),2))
    ),
    VALUE(INDEX(SPLIT(K357,""-""),1))
  )
)"),40.0)</f>
        <v>40</v>
      </c>
      <c r="J357" s="17">
        <f>I357*(VLOOKUP(C357,'Rev_Mapping Table'!$A$1:$C$12,3,0))</f>
        <v>19720000</v>
      </c>
      <c r="K357" s="16" t="s">
        <v>25</v>
      </c>
      <c r="L357" s="18">
        <v>0.22</v>
      </c>
      <c r="M357" s="19" t="str">
        <f>VLOOKUP(B357,Master_Mapper!$A$2:$C$628,3,0)</f>
        <v>Route 2 Capital Partners</v>
      </c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</row>
    <row r="358">
      <c r="A358" s="21" t="b">
        <v>0</v>
      </c>
      <c r="B358" s="31" t="s">
        <v>606</v>
      </c>
      <c r="C358" s="21" t="str">
        <f>vlookup(B358,Vert_Mapper!$A$2:$C$567,2,0)</f>
        <v>Consumer Discretionary</v>
      </c>
      <c r="D358" s="21" t="str">
        <f>vlookup(B358,Vert_Mapper!$A$2:$C$567,3,0)</f>
        <v>Consumer Products</v>
      </c>
      <c r="E358" s="21" t="s">
        <v>26</v>
      </c>
      <c r="F358" s="21" t="s">
        <v>18</v>
      </c>
      <c r="G358" s="21" t="str">
        <f t="shared" si="1"/>
        <v>ACCELERATED GROWTH</v>
      </c>
      <c r="H358" s="21" t="s">
        <v>291</v>
      </c>
      <c r="I358" s="24">
        <f>IFERROR(__xludf.DUMMYFUNCTION("ROUND(
  MAX(
    MIN(
      (
        (VALUE(INDEX(SPLIT(K358,""-""),1)) + VALUE(INDEX(SPLIT(K358,""-""),2))) / 2
      ) *
      IFS(
        L358&gt;0.4, 1.6,
        L358&gt;0.1, 1.3,
        L358&gt;=-0.05, 1,
        L358&gt;=-0.2, 0.85,
        TRUE, 0.7
     "&amp;" ),
      VALUE(INDEX(SPLIT(K358,""-""),2))
    ),
    VALUE(INDEX(SPLIT(K358,""-""),1))
  )
)"),976.0)</f>
        <v>976</v>
      </c>
      <c r="J358" s="25">
        <f>I358*(VLOOKUP(C358,'Rev_Mapping Table'!$A$1:$C$12,3,0))</f>
        <v>499712000</v>
      </c>
      <c r="K358" s="24" t="s">
        <v>54</v>
      </c>
      <c r="L358" s="26">
        <v>0.22</v>
      </c>
      <c r="M358" s="27" t="str">
        <f>VLOOKUP(B358,Master_Mapper!$A$2:$C$628,3,0)</f>
        <v>Blue Point Capital Partners</v>
      </c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</row>
    <row r="359">
      <c r="A359" s="13" t="b">
        <v>0</v>
      </c>
      <c r="B359" s="14" t="s">
        <v>607</v>
      </c>
      <c r="C359" s="13" t="str">
        <f>vlookup(B359,Vert_Mapper!$A$2:$C$567,2,0)</f>
        <v>Consumer Staples</v>
      </c>
      <c r="D359" s="13" t="str">
        <f>vlookup(B359,Vert_Mapper!$A$2:$C$567,3,0)</f>
        <v>Food &amp; Beverage Manufacturing</v>
      </c>
      <c r="E359" s="13" t="s">
        <v>26</v>
      </c>
      <c r="F359" s="13" t="s">
        <v>18</v>
      </c>
      <c r="G359" s="13" t="str">
        <f t="shared" si="1"/>
        <v>FLAT TO NEUTRAL</v>
      </c>
      <c r="H359" s="13" t="s">
        <v>608</v>
      </c>
      <c r="I359" s="16">
        <f>IFERROR(__xludf.DUMMYFUNCTION("ROUND(
  MAX(
    MIN(
      (
        (VALUE(INDEX(SPLIT(K359,""-""),1)) + VALUE(INDEX(SPLIT(K359,""-""),2))) / 2
      ) *
      IFS(
        L359&gt;0.4, 1.6,
        L359&gt;0.1, 1.3,
        L359&gt;=-0.05, 1,
        L359&gt;=-0.2, 0.85,
        TRUE, 0.7
     "&amp;" ),
      VALUE(INDEX(SPLIT(K359,""-""),2))
    ),
    VALUE(INDEX(SPLIT(K359,""-""),1))
  )
)"),6.0)</f>
        <v>6</v>
      </c>
      <c r="J359" s="17">
        <f>I359*(VLOOKUP(C359,'Rev_Mapping Table'!$A$1:$C$12,3,0))</f>
        <v>3336000</v>
      </c>
      <c r="K359" s="30">
        <v>45698.0</v>
      </c>
      <c r="L359" s="18">
        <v>0.0</v>
      </c>
      <c r="M359" s="19" t="str">
        <f>VLOOKUP(B359,Master_Mapper!$A$2:$C$628,3,0)</f>
        <v>Harbright Ventures</v>
      </c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</row>
    <row r="360">
      <c r="A360" s="21" t="b">
        <v>0</v>
      </c>
      <c r="B360" s="34" t="s">
        <v>609</v>
      </c>
      <c r="C360" s="21" t="str">
        <f>vlookup(B360,Vert_Mapper!$A$2:$C$567,2,0)</f>
        <v>Financials</v>
      </c>
      <c r="D360" s="21" t="str">
        <f>vlookup(B360,Vert_Mapper!$A$2:$C$567,3,0)</f>
        <v>Financial Technology &amp; Investment Services</v>
      </c>
      <c r="E360" s="21" t="s">
        <v>26</v>
      </c>
      <c r="F360" s="21" t="s">
        <v>18</v>
      </c>
      <c r="G360" s="21" t="str">
        <f t="shared" si="1"/>
        <v>SEVERELY NEGATIVE</v>
      </c>
      <c r="H360" s="21" t="s">
        <v>518</v>
      </c>
      <c r="I360" s="24">
        <f>IFERROR(__xludf.DUMMYFUNCTION("ROUND(
  MAX(
    MIN(
      (
        (VALUE(INDEX(SPLIT(K360,""-""),1)) + VALUE(INDEX(SPLIT(K360,""-""),2))) / 2
      ) *
      IFS(
        L360&gt;0.4, 1.6,
        L360&gt;0.1, 1.3,
        L360&gt;=-0.05, 1,
        L360&gt;=-0.2, 0.85,
        TRUE, 0.7
     "&amp;" ),
      VALUE(INDEX(SPLIT(K360,""-""),2))
    ),
    VALUE(INDEX(SPLIT(K360,""-""),1))
  )
)"),4.0)</f>
        <v>4</v>
      </c>
      <c r="J360" s="25">
        <f>I360*(VLOOKUP(C360,'Rev_Mapping Table'!$A$1:$C$12,3,0))</f>
        <v>3620000</v>
      </c>
      <c r="K360" s="32">
        <v>45698.0</v>
      </c>
      <c r="L360" s="26">
        <v>-0.42</v>
      </c>
      <c r="M360" s="27" t="str">
        <f>VLOOKUP(B360,Master_Mapper!$A$2:$C$628,3,0)</f>
        <v>Vibora Capital</v>
      </c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</row>
    <row r="361">
      <c r="A361" s="13" t="b">
        <v>0</v>
      </c>
      <c r="B361" s="14" t="s">
        <v>610</v>
      </c>
      <c r="C361" s="13" t="str">
        <f>vlookup(B361,Vert_Mapper!$A$2:$C$567,2,0)</f>
        <v>Information Technology</v>
      </c>
      <c r="D361" s="13" t="str">
        <f>vlookup(B361,Vert_Mapper!$A$2:$C$567,3,0)</f>
        <v>Software &amp; SaaS</v>
      </c>
      <c r="E361" s="13" t="s">
        <v>65</v>
      </c>
      <c r="F361" s="13" t="s">
        <v>18</v>
      </c>
      <c r="G361" s="13" t="str">
        <f t="shared" si="1"/>
        <v>GROWTH PHASE</v>
      </c>
      <c r="H361" s="13" t="s">
        <v>100</v>
      </c>
      <c r="I361" s="16">
        <f>IFERROR(__xludf.DUMMYFUNCTION("ROUND(
  MAX(
    MIN(
      (
        (VALUE(INDEX(SPLIT(K361,""-""),1)) + VALUE(INDEX(SPLIT(K361,""-""),2))) / 2
      ) *
      IFS(
        L361&gt;0.4, 1.6,
        L361&gt;0.1, 1.3,
        L361&gt;=-0.05, 1,
        L361&gt;=-0.2, 0.85,
        TRUE, 0.7
     "&amp;" ),
      VALUE(INDEX(SPLIT(K361,""-""),2))
    ),
    VALUE(INDEX(SPLIT(K361,""-""),1))
  )
)"),163.0)</f>
        <v>163</v>
      </c>
      <c r="J361" s="17">
        <f>I361*(VLOOKUP(C361,'Rev_Mapping Table'!$A$1:$C$12,3,0))</f>
        <v>91932000</v>
      </c>
      <c r="K361" s="16" t="s">
        <v>32</v>
      </c>
      <c r="L361" s="18">
        <v>0.16</v>
      </c>
      <c r="M361" s="19" t="str">
        <f>VLOOKUP(B361,Master_Mapper!$A$2:$C$628,3,0)</f>
        <v>Falfurrias Capital Partners</v>
      </c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</row>
    <row r="362">
      <c r="A362" s="21" t="b">
        <v>0</v>
      </c>
      <c r="B362" s="31" t="s">
        <v>611</v>
      </c>
      <c r="C362" s="21" t="str">
        <f>vlookup(B362,Vert_Mapper!$A$2:$C$567,2,0)</f>
        <v>Information Technology</v>
      </c>
      <c r="D362" s="21" t="str">
        <f>vlookup(B362,Vert_Mapper!$A$2:$C$567,3,0)</f>
        <v>Software &amp; SaaS</v>
      </c>
      <c r="E362" s="21" t="s">
        <v>26</v>
      </c>
      <c r="F362" s="21" t="s">
        <v>18</v>
      </c>
      <c r="G362" s="21" t="str">
        <f t="shared" si="1"/>
        <v>HYPERGROWTH</v>
      </c>
      <c r="H362" s="21" t="s">
        <v>131</v>
      </c>
      <c r="I362" s="24" t="str">
        <f>IFERROR(__xludf.DUMMYFUNCTION("ROUND(
  MAX(
    MIN(
      (
        (VALUE(INDEX(SPLIT(K362,""-""),1)) + VALUE(INDEX(SPLIT(K362,""-""),2))) / 2
      ) *
      IFS(
        L362&gt;0.4, 1.6,
        L362&gt;0.1, 1.3,
        L362&gt;=-0.05, 1,
        L362&gt;=-0.2, 0.85,
        TRUE, 0.7
     "&amp;" ),
      VALUE(INDEX(SPLIT(K362,""-""),2))
    ),
    VALUE(INDEX(SPLIT(K362,""-""),1))
  )
)"),"#VALUE!")</f>
        <v>#VALUE!</v>
      </c>
      <c r="J362" s="25" t="str">
        <f>I362*(VLOOKUP(C362,'Rev_Mapping Table'!$A$1:$C$12,3,0))</f>
        <v>#VALUE!</v>
      </c>
      <c r="K362" s="35" t="s">
        <v>131</v>
      </c>
      <c r="L362" s="35" t="s">
        <v>131</v>
      </c>
      <c r="M362" s="27" t="str">
        <f>VLOOKUP(B362,Master_Mapper!$A$2:$C$628,3,0)</f>
        <v>SharpVue Capital</v>
      </c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</row>
    <row r="363">
      <c r="A363" s="13" t="b">
        <v>0</v>
      </c>
      <c r="B363" s="14" t="s">
        <v>612</v>
      </c>
      <c r="C363" s="13" t="str">
        <f>vlookup(B363,Vert_Mapper!$A$2:$C$567,2,0)</f>
        <v>Information Technology</v>
      </c>
      <c r="D363" s="13" t="str">
        <f>vlookup(B363,Vert_Mapper!$A$2:$C$567,3,0)</f>
        <v>Security &amp; Cybersecurity</v>
      </c>
      <c r="E363" s="13" t="s">
        <v>26</v>
      </c>
      <c r="F363" s="13" t="s">
        <v>30</v>
      </c>
      <c r="G363" s="13" t="str">
        <f t="shared" si="1"/>
        <v>GROWTH PHASE</v>
      </c>
      <c r="H363" s="13" t="s">
        <v>157</v>
      </c>
      <c r="I363" s="16">
        <f>IFERROR(__xludf.DUMMYFUNCTION("ROUND(
  MAX(
    MIN(
      (
        (VALUE(INDEX(SPLIT(K363,""-""),1)) + VALUE(INDEX(SPLIT(K363,""-""),2))) / 2
      ) *
      IFS(
        L363&gt;0.4, 1.6,
        L363&gt;0.1, 1.3,
        L363&gt;=-0.05, 1,
        L363&gt;=-0.2, 0.85,
        TRUE, 0.7
     "&amp;" ),
      VALUE(INDEX(SPLIT(K363,""-""),2))
    ),
    VALUE(INDEX(SPLIT(K363,""-""),1))
  )
)"),3901.0)</f>
        <v>3901</v>
      </c>
      <c r="J363" s="17">
        <f>I363*(VLOOKUP(C363,'Rev_Mapping Table'!$A$1:$C$12,3,0))</f>
        <v>2200164000</v>
      </c>
      <c r="K363" s="16" t="s">
        <v>96</v>
      </c>
      <c r="L363" s="18">
        <v>0.2</v>
      </c>
      <c r="M363" s="19" t="str">
        <f>VLOOKUP(B363,Master_Mapper!$A$2:$C$628,3,0)</f>
        <v>Vibora Capital</v>
      </c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</row>
    <row r="364">
      <c r="A364" s="21" t="b">
        <v>0</v>
      </c>
      <c r="B364" s="31" t="s">
        <v>613</v>
      </c>
      <c r="C364" s="21" t="str">
        <f>vlookup(B364,Vert_Mapper!$A$2:$C$567,2,0)</f>
        <v>Healthcare</v>
      </c>
      <c r="D364" s="21" t="str">
        <f>vlookup(B364,Vert_Mapper!$A$2:$C$567,3,0)</f>
        <v>Biotechnology &amp; Pharmaceuticals</v>
      </c>
      <c r="E364" s="21" t="s">
        <v>26</v>
      </c>
      <c r="F364" s="21" t="s">
        <v>18</v>
      </c>
      <c r="G364" s="21" t="str">
        <f t="shared" si="1"/>
        <v>DECLINING</v>
      </c>
      <c r="H364" s="21" t="s">
        <v>614</v>
      </c>
      <c r="I364" s="24">
        <f>IFERROR(__xludf.DUMMYFUNCTION("ROUND(
  MAX(
    MIN(
      (
        (VALUE(INDEX(SPLIT(K364,""-""),1)) + VALUE(INDEX(SPLIT(K364,""-""),2))) / 2
      ) *
      IFS(
        L364&gt;0.4, 1.6,
        L364&gt;0.1, 1.3,
        L364&gt;=-0.05, 1,
        L364&gt;=-0.2, 0.85,
        TRUE, 0.7
     "&amp;" ),
      VALUE(INDEX(SPLIT(K364,""-""),2))
    ),
    VALUE(INDEX(SPLIT(K364,""-""),1))
  )
)"),26.0)</f>
        <v>26</v>
      </c>
      <c r="J364" s="25">
        <f>I364*(VLOOKUP(C364,'Rev_Mapping Table'!$A$1:$C$12,3,0))</f>
        <v>14456000</v>
      </c>
      <c r="K364" s="24" t="s">
        <v>25</v>
      </c>
      <c r="L364" s="26">
        <v>-0.17</v>
      </c>
      <c r="M364" s="27" t="str">
        <f>VLOOKUP(B364,Master_Mapper!$A$2:$C$628,3,0)</f>
        <v>Cerity Partners</v>
      </c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</row>
    <row r="365">
      <c r="A365" s="13" t="b">
        <v>0</v>
      </c>
      <c r="B365" s="14" t="s">
        <v>615</v>
      </c>
      <c r="C365" s="13" t="str">
        <f>vlookup(B365,Vert_Mapper!$A$2:$C$567,2,0)</f>
        <v>Healthcare</v>
      </c>
      <c r="D365" s="13" t="str">
        <f>vlookup(B365,Vert_Mapper!$A$2:$C$567,3,0)</f>
        <v>Biotechnology &amp; Pharmaceuticals</v>
      </c>
      <c r="E365" s="13" t="s">
        <v>26</v>
      </c>
      <c r="F365" s="13" t="s">
        <v>18</v>
      </c>
      <c r="G365" s="13" t="str">
        <f t="shared" si="1"/>
        <v>DECLINING</v>
      </c>
      <c r="H365" s="13" t="s">
        <v>616</v>
      </c>
      <c r="I365" s="16">
        <f>IFERROR(__xludf.DUMMYFUNCTION("ROUND(
  MAX(
    MIN(
      (
        (VALUE(INDEX(SPLIT(K365,""-""),1)) + VALUE(INDEX(SPLIT(K365,""-""),2))) / 2
      ) *
      IFS(
        L365&gt;0.4, 1.6,
        L365&gt;0.1, 1.3,
        L365&gt;=-0.05, 1,
        L365&gt;=-0.2, 0.85,
        TRUE, 0.7
     "&amp;" ),
      VALUE(INDEX(SPLIT(K365,""-""),2))
    ),
    VALUE(INDEX(SPLIT(K365,""-""),1))
  )
)"),126.0)</f>
        <v>126</v>
      </c>
      <c r="J365" s="17">
        <f>I365*(VLOOKUP(C365,'Rev_Mapping Table'!$A$1:$C$12,3,0))</f>
        <v>70056000</v>
      </c>
      <c r="K365" s="16" t="s">
        <v>32</v>
      </c>
      <c r="L365" s="18">
        <v>-0.03</v>
      </c>
      <c r="M365" s="19" t="str">
        <f>VLOOKUP(B365,Master_Mapper!$A$2:$C$628,3,0)</f>
        <v>NovaQuest Capital Mgmt</v>
      </c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</row>
    <row r="366">
      <c r="A366" s="21" t="b">
        <v>0</v>
      </c>
      <c r="B366" s="31" t="s">
        <v>617</v>
      </c>
      <c r="C366" s="21" t="str">
        <f>vlookup(B366,Vert_Mapper!$A$2:$C$567,2,0)</f>
        <v>Consumer Staples</v>
      </c>
      <c r="D366" s="21" t="str">
        <f>vlookup(B366,Vert_Mapper!$A$2:$C$567,3,0)</f>
        <v>Food &amp; Beverage Manufacturing</v>
      </c>
      <c r="E366" s="21" t="s">
        <v>175</v>
      </c>
      <c r="F366" s="21" t="s">
        <v>34</v>
      </c>
      <c r="G366" s="21" t="str">
        <f t="shared" si="1"/>
        <v>FLAT TO NEUTRAL</v>
      </c>
      <c r="H366" s="21" t="s">
        <v>57</v>
      </c>
      <c r="I366" s="24">
        <f>IFERROR(__xludf.DUMMYFUNCTION("ROUND(
  MAX(
    MIN(
      (
        (VALUE(INDEX(SPLIT(K366,""-""),1)) + VALUE(INDEX(SPLIT(K366,""-""),2))) / 2
      ) *
      IFS(
        L366&gt;0.4, 1.6,
        L366&gt;0.1, 1.3,
        L366&gt;=-0.05, 1,
        L366&gt;=-0.2, 0.85,
        TRUE, 0.7
     "&amp;" ),
      VALUE(INDEX(SPLIT(K366,""-""),2))
    ),
    VALUE(INDEX(SPLIT(K366,""-""),1))
  )
)"),6.0)</f>
        <v>6</v>
      </c>
      <c r="J366" s="25">
        <f>I366*(VLOOKUP(C366,'Rev_Mapping Table'!$A$1:$C$12,3,0))</f>
        <v>3336000</v>
      </c>
      <c r="K366" s="32">
        <v>45698.0</v>
      </c>
      <c r="L366" s="26">
        <v>0.03</v>
      </c>
      <c r="M366" s="27" t="str">
        <f>VLOOKUP(B366,Master_Mapper!$A$2:$C$628,3,0)</f>
        <v>VentureSouth</v>
      </c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</row>
    <row r="367">
      <c r="A367" s="13" t="b">
        <v>1</v>
      </c>
      <c r="B367" s="14" t="s">
        <v>618</v>
      </c>
      <c r="C367" s="13" t="str">
        <f>vlookup(B367,Vert_Mapper!$A$2:$C$567,2,0)</f>
        <v>Financials</v>
      </c>
      <c r="D367" s="13" t="str">
        <f>vlookup(B367,Vert_Mapper!$A$2:$C$567,3,0)</f>
        <v>Banking &amp; Financial Institutions</v>
      </c>
      <c r="E367" s="13" t="s">
        <v>79</v>
      </c>
      <c r="F367" s="13" t="s">
        <v>18</v>
      </c>
      <c r="G367" s="13" t="str">
        <f t="shared" si="1"/>
        <v>FLAT TO NEUTRAL</v>
      </c>
      <c r="H367" s="13" t="s">
        <v>619</v>
      </c>
      <c r="I367" s="16">
        <f>IFERROR(__xludf.DUMMYFUNCTION("ROUND(
  MAX(
    MIN(
      (
        (VALUE(INDEX(SPLIT(K367,""-""),1)) + VALUE(INDEX(SPLIT(K367,""-""),2))) / 2
      ) *
      IFS(
        L367&gt;0.4, 1.6,
        L367&gt;0.1, 1.3,
        L367&gt;=-0.05, 1,
        L367&gt;=-0.2, 0.85,
        TRUE, 0.7
     "&amp;" ),
      VALUE(INDEX(SPLIT(K367,""-""),2))
    ),
    VALUE(INDEX(SPLIT(K367,""-""),1))
  )
)"),351.0)</f>
        <v>351</v>
      </c>
      <c r="J367" s="17">
        <f>I367*(VLOOKUP(C367,'Rev_Mapping Table'!$A$1:$C$12,3,0))</f>
        <v>317655000</v>
      </c>
      <c r="K367" s="16" t="s">
        <v>20</v>
      </c>
      <c r="L367" s="18">
        <v>0.01</v>
      </c>
      <c r="M367" s="19" t="str">
        <f>VLOOKUP(B367,Master_Mapper!$A$2:$C$628,3,0)</f>
        <v>Harbor Island Equity Partners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</row>
    <row r="368">
      <c r="A368" s="21" t="b">
        <v>1</v>
      </c>
      <c r="B368" s="31" t="s">
        <v>620</v>
      </c>
      <c r="C368" s="21" t="str">
        <f>vlookup(B368,Vert_Mapper!$A$2:$C$567,2,0)</f>
        <v>Information Technology</v>
      </c>
      <c r="D368" s="21" t="str">
        <f>vlookup(B368,Vert_Mapper!$A$2:$C$567,3,0)</f>
        <v>Software &amp; SaaS</v>
      </c>
      <c r="E368" s="21" t="s">
        <v>26</v>
      </c>
      <c r="F368" s="21" t="s">
        <v>18</v>
      </c>
      <c r="G368" s="21" t="str">
        <f t="shared" si="1"/>
        <v>DECLINING</v>
      </c>
      <c r="H368" s="21" t="s">
        <v>621</v>
      </c>
      <c r="I368" s="24">
        <f>IFERROR(__xludf.DUMMYFUNCTION("ROUND(
  MAX(
    MIN(
      (
        (VALUE(INDEX(SPLIT(K368,""-""),1)) + VALUE(INDEX(SPLIT(K368,""-""),2))) / 2
      ) *
      IFS(
        L368&gt;0.4, 1.6,
        L368&gt;0.1, 1.3,
        L368&gt;=-0.05, 1,
        L368&gt;=-0.2, 0.85,
        TRUE, 0.7
     "&amp;" ),
      VALUE(INDEX(SPLIT(K368,""-""),2))
    ),
    VALUE(INDEX(SPLIT(K368,""-""),1))
  )
)"),26.0)</f>
        <v>26</v>
      </c>
      <c r="J368" s="25">
        <f>I368*(VLOOKUP(C368,'Rev_Mapping Table'!$A$1:$C$12,3,0))</f>
        <v>14664000</v>
      </c>
      <c r="K368" s="24" t="s">
        <v>25</v>
      </c>
      <c r="L368" s="26">
        <v>-0.07</v>
      </c>
      <c r="M368" s="27" t="str">
        <f>VLOOKUP(B368,Master_Mapper!$A$2:$C$628,3,0)</f>
        <v>Cerity Partners</v>
      </c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</row>
    <row r="369">
      <c r="A369" s="13" t="b">
        <v>0</v>
      </c>
      <c r="B369" s="14" t="s">
        <v>622</v>
      </c>
      <c r="C369" s="13" t="str">
        <f>vlookup(B369,Vert_Mapper!$A$2:$C$567,2,0)</f>
        <v>Healthcare</v>
      </c>
      <c r="D369" s="13" t="str">
        <f>vlookup(B369,Vert_Mapper!$A$2:$C$567,3,0)</f>
        <v>Biotechnology &amp; Pharmaceuticals</v>
      </c>
      <c r="E369" s="13" t="s">
        <v>65</v>
      </c>
      <c r="F369" s="13" t="s">
        <v>18</v>
      </c>
      <c r="G369" s="13" t="str">
        <f t="shared" si="1"/>
        <v>FLAT TO NEUTRAL</v>
      </c>
      <c r="H369" s="13" t="s">
        <v>24</v>
      </c>
      <c r="I369" s="16">
        <f>IFERROR(__xludf.DUMMYFUNCTION("ROUND(
  MAX(
    MIN(
      (
        (VALUE(INDEX(SPLIT(K369,""-""),1)) + VALUE(INDEX(SPLIT(K369,""-""),2))) / 2
      ) *
      IFS(
        L369&gt;0.4, 1.6,
        L369&gt;0.1, 1.3,
        L369&gt;=-0.05, 1,
        L369&gt;=-0.2, 0.85,
        TRUE, 0.7
     "&amp;" ),
      VALUE(INDEX(SPLIT(K369,""-""),2))
    ),
    VALUE(INDEX(SPLIT(K369,""-""),1))
  )
)"),31.0)</f>
        <v>31</v>
      </c>
      <c r="J369" s="17">
        <f>I369*(VLOOKUP(C369,'Rev_Mapping Table'!$A$1:$C$12,3,0))</f>
        <v>17236000</v>
      </c>
      <c r="K369" s="16" t="s">
        <v>25</v>
      </c>
      <c r="L369" s="18">
        <v>0.0</v>
      </c>
      <c r="M369" s="19" t="str">
        <f>VLOOKUP(B369,Master_Mapper!$A$2:$C$628,3,0)</f>
        <v>Cerity Partners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</row>
    <row r="370">
      <c r="A370" s="21" t="b">
        <v>0</v>
      </c>
      <c r="B370" s="31" t="s">
        <v>623</v>
      </c>
      <c r="C370" s="21" t="str">
        <f>vlookup(B370,Vert_Mapper!$A$2:$C$567,2,0)</f>
        <v>Industrials</v>
      </c>
      <c r="D370" s="21" t="str">
        <f>vlookup(B370,Vert_Mapper!$A$2:$C$567,3,0)</f>
        <v>Engineering &amp; Construction Services</v>
      </c>
      <c r="E370" s="21" t="s">
        <v>26</v>
      </c>
      <c r="F370" s="21" t="s">
        <v>18</v>
      </c>
      <c r="G370" s="21" t="str">
        <f t="shared" si="1"/>
        <v>HYPERGROWTH</v>
      </c>
      <c r="H370" s="21" t="s">
        <v>131</v>
      </c>
      <c r="I370" s="24" t="str">
        <f>IFERROR(__xludf.DUMMYFUNCTION("ROUND(
  MAX(
    MIN(
      (
        (VALUE(INDEX(SPLIT(K370,""-""),1)) + VALUE(INDEX(SPLIT(K370,""-""),2))) / 2
      ) *
      IFS(
        L370&gt;0.4, 1.6,
        L370&gt;0.1, 1.3,
        L370&gt;=-0.05, 1,
        L370&gt;=-0.2, 0.85,
        TRUE, 0.7
     "&amp;" ),
      VALUE(INDEX(SPLIT(K370,""-""),2))
    ),
    VALUE(INDEX(SPLIT(K370,""-""),1))
  )
)"),"#VALUE!")</f>
        <v>#VALUE!</v>
      </c>
      <c r="J370" s="25" t="str">
        <f>I370*(VLOOKUP(C370,'Rev_Mapping Table'!$A$1:$C$12,3,0))</f>
        <v>#VALUE!</v>
      </c>
      <c r="K370" s="35" t="s">
        <v>131</v>
      </c>
      <c r="L370" s="35" t="s">
        <v>131</v>
      </c>
      <c r="M370" s="27" t="str">
        <f>VLOOKUP(B370,Master_Mapper!$A$2:$C$628,3,0)</f>
        <v>Carousel Capital</v>
      </c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</row>
    <row r="371">
      <c r="A371" s="13" t="b">
        <v>0</v>
      </c>
      <c r="B371" s="14" t="s">
        <v>624</v>
      </c>
      <c r="C371" s="13" t="str">
        <f>vlookup(B371,Vert_Mapper!$A$2:$C$567,2,0)</f>
        <v>Healthcare</v>
      </c>
      <c r="D371" s="13" t="str">
        <f>vlookup(B371,Vert_Mapper!$A$2:$C$567,3,0)</f>
        <v>Healthcare Services</v>
      </c>
      <c r="E371" s="13" t="s">
        <v>26</v>
      </c>
      <c r="F371" s="13" t="s">
        <v>18</v>
      </c>
      <c r="G371" s="13" t="str">
        <f t="shared" si="1"/>
        <v>GROWTH PHASE</v>
      </c>
      <c r="H371" s="13" t="s">
        <v>317</v>
      </c>
      <c r="I371" s="16">
        <f>IFERROR(__xludf.DUMMYFUNCTION("ROUND(
  MAX(
    MIN(
      (
        (VALUE(INDEX(SPLIT(K371,""-""),1)) + VALUE(INDEX(SPLIT(K371,""-""),2))) / 2
      ) *
      IFS(
        L371&gt;0.4, 1.6,
        L371&gt;0.1, 1.3,
        L371&gt;=-0.05, 1,
        L371&gt;=-0.2, 0.85,
        TRUE, 0.7
     "&amp;" ),
      VALUE(INDEX(SPLIT(K371,""-""),2))
    ),
    VALUE(INDEX(SPLIT(K371,""-""),1))
  )
)"),163.0)</f>
        <v>163</v>
      </c>
      <c r="J371" s="17">
        <f>I371*(VLOOKUP(C371,'Rev_Mapping Table'!$A$1:$C$12,3,0))</f>
        <v>90628000</v>
      </c>
      <c r="K371" s="16" t="s">
        <v>32</v>
      </c>
      <c r="L371" s="18">
        <v>0.14</v>
      </c>
      <c r="M371" s="19" t="str">
        <f>VLOOKUP(B371,Master_Mapper!$A$2:$C$628,3,0)</f>
        <v>Falfurrias Capital Partners</v>
      </c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</row>
    <row r="372">
      <c r="A372" s="21" t="b">
        <v>0</v>
      </c>
      <c r="B372" s="31" t="s">
        <v>625</v>
      </c>
      <c r="C372" s="21" t="str">
        <f>vlookup(B372,Vert_Mapper!$A$2:$C$567,2,0)</f>
        <v>Consumer Discretionary</v>
      </c>
      <c r="D372" s="21" t="str">
        <f>vlookup(B372,Vert_Mapper!$A$2:$C$567,3,0)</f>
        <v>Restaurants &amp; Food Services</v>
      </c>
      <c r="E372" s="21" t="s">
        <v>175</v>
      </c>
      <c r="F372" s="21" t="s">
        <v>34</v>
      </c>
      <c r="G372" s="21" t="str">
        <f t="shared" si="1"/>
        <v>DECLINING</v>
      </c>
      <c r="H372" s="21" t="s">
        <v>626</v>
      </c>
      <c r="I372" s="24">
        <f>IFERROR(__xludf.DUMMYFUNCTION("ROUND(
  MAX(
    MIN(
      (
        (VALUE(INDEX(SPLIT(K372,""-""),1)) + VALUE(INDEX(SPLIT(K372,""-""),2))) / 2
      ) *
      IFS(
        L372&gt;0.4, 1.6,
        L372&gt;0.1, 1.3,
        L372&gt;=-0.05, 1,
        L372&gt;=-0.2, 0.85,
        TRUE, 0.7
     "&amp;" ),
      VALUE(INDEX(SPLIT(K372,""-""),2))
    ),
    VALUE(INDEX(SPLIT(K372,""-""),1))
  )
)"),126.0)</f>
        <v>126</v>
      </c>
      <c r="J372" s="25">
        <f>I372*(VLOOKUP(C372,'Rev_Mapping Table'!$A$1:$C$12,3,0))</f>
        <v>64512000</v>
      </c>
      <c r="K372" s="24" t="s">
        <v>32</v>
      </c>
      <c r="L372" s="26">
        <v>-0.02</v>
      </c>
      <c r="M372" s="27" t="str">
        <f>VLOOKUP(B372,Master_Mapper!$A$2:$C$628,3,0)</f>
        <v>Cerity Partners</v>
      </c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</row>
    <row r="373">
      <c r="A373" s="13" t="b">
        <v>0</v>
      </c>
      <c r="B373" s="14" t="s">
        <v>627</v>
      </c>
      <c r="C373" s="13" t="str">
        <f>vlookup(B373,Vert_Mapper!$A$2:$C$567,2,0)</f>
        <v>Information Technology</v>
      </c>
      <c r="D373" s="13" t="str">
        <f>vlookup(B373,Vert_Mapper!$A$2:$C$567,3,0)</f>
        <v>IT Services &amp; Consulting</v>
      </c>
      <c r="E373" s="13" t="s">
        <v>26</v>
      </c>
      <c r="F373" s="13" t="s">
        <v>18</v>
      </c>
      <c r="G373" s="13" t="str">
        <f t="shared" si="1"/>
        <v>GROWTH PHASE</v>
      </c>
      <c r="H373" s="13" t="s">
        <v>544</v>
      </c>
      <c r="I373" s="16">
        <f>IFERROR(__xludf.DUMMYFUNCTION("ROUND(
  MAX(
    MIN(
      (
        (VALUE(INDEX(SPLIT(K373,""-""),1)) + VALUE(INDEX(SPLIT(K373,""-""),2))) / 2
      ) *
      IFS(
        L373&gt;0.4, 1.6,
        L373&gt;0.1, 1.3,
        L373&gt;=-0.05, 1,
        L373&gt;=-0.2, 0.85,
        TRUE, 0.7
     "&amp;" ),
      VALUE(INDEX(SPLIT(K373,""-""),2))
    ),
    VALUE(INDEX(SPLIT(K373,""-""),1))
  )
)"),126.0)</f>
        <v>126</v>
      </c>
      <c r="J373" s="17">
        <f>I373*(VLOOKUP(C373,'Rev_Mapping Table'!$A$1:$C$12,3,0))</f>
        <v>71064000</v>
      </c>
      <c r="K373" s="16" t="s">
        <v>32</v>
      </c>
      <c r="L373" s="18">
        <v>0.05</v>
      </c>
      <c r="M373" s="19" t="str">
        <f>VLOOKUP(B373,Master_Mapper!$A$2:$C$628,3,0)</f>
        <v>Falfurrias Capital Partners</v>
      </c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</row>
    <row r="374">
      <c r="A374" s="21" t="b">
        <v>0</v>
      </c>
      <c r="B374" s="31" t="s">
        <v>628</v>
      </c>
      <c r="C374" s="21" t="str">
        <f>vlookup(B374,Vert_Mapper!$A$2:$C$567,2,0)</f>
        <v>Information Technology</v>
      </c>
      <c r="D374" s="21" t="str">
        <f>vlookup(B374,Vert_Mapper!$A$2:$C$567,3,0)</f>
        <v>Manufacturing Technology</v>
      </c>
      <c r="E374" s="21" t="s">
        <v>65</v>
      </c>
      <c r="F374" s="21" t="s">
        <v>18</v>
      </c>
      <c r="G374" s="21" t="str">
        <f t="shared" si="1"/>
        <v>DECLINING</v>
      </c>
      <c r="H374" s="21" t="s">
        <v>83</v>
      </c>
      <c r="I374" s="24">
        <f>IFERROR(__xludf.DUMMYFUNCTION("ROUND(
  MAX(
    MIN(
      (
        (VALUE(INDEX(SPLIT(K374,""-""),1)) + VALUE(INDEX(SPLIT(K374,""-""),2))) / 2
      ) *
      IFS(
        L374&gt;0.4, 1.6,
        L374&gt;0.1, 1.3,
        L374&gt;=-0.05, 1,
        L374&gt;=-0.2, 0.85,
        TRUE, 0.7
     "&amp;" ),
      VALUE(INDEX(SPLIT(K374,""-""),2))
    ),
    VALUE(INDEX(SPLIT(K374,""-""),1))
  )
)"),26.0)</f>
        <v>26</v>
      </c>
      <c r="J374" s="25">
        <f>I374*(VLOOKUP(C374,'Rev_Mapping Table'!$A$1:$C$12,3,0))</f>
        <v>14664000</v>
      </c>
      <c r="K374" s="24" t="s">
        <v>25</v>
      </c>
      <c r="L374" s="26">
        <v>-0.11</v>
      </c>
      <c r="M374" s="27" t="str">
        <f>VLOOKUP(B374,Master_Mapper!$A$2:$C$628,3,0)</f>
        <v>Cerity Partners</v>
      </c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</row>
    <row r="375">
      <c r="A375" s="13" t="b">
        <v>0</v>
      </c>
      <c r="B375" s="14" t="s">
        <v>629</v>
      </c>
      <c r="C375" s="13" t="str">
        <f>vlookup(B375,Vert_Mapper!$A$2:$C$567,2,0)</f>
        <v>Healthcare</v>
      </c>
      <c r="D375" s="13" t="str">
        <f>vlookup(B375,Vert_Mapper!$A$2:$C$567,3,0)</f>
        <v>Healthcare Technology &amp; Analytics</v>
      </c>
      <c r="E375" s="13" t="s">
        <v>26</v>
      </c>
      <c r="F375" s="13" t="s">
        <v>18</v>
      </c>
      <c r="G375" s="13" t="str">
        <f t="shared" si="1"/>
        <v>GROWTH PHASE</v>
      </c>
      <c r="H375" s="13" t="s">
        <v>630</v>
      </c>
      <c r="I375" s="16">
        <f>IFERROR(__xludf.DUMMYFUNCTION("ROUND(
  MAX(
    MIN(
      (
        (VALUE(INDEX(SPLIT(K375,""-""),1)) + VALUE(INDEX(SPLIT(K375,""-""),2))) / 2
      ) *
      IFS(
        L375&gt;0.4, 1.6,
        L375&gt;0.1, 1.3,
        L375&gt;=-0.05, 1,
        L375&gt;=-0.2, 0.85,
        TRUE, 0.7
     "&amp;" ),
      VALUE(INDEX(SPLIT(K375,""-""),2))
    ),
    VALUE(INDEX(SPLIT(K375,""-""),1))
  )
)"),351.0)</f>
        <v>351</v>
      </c>
      <c r="J375" s="17">
        <f>I375*(VLOOKUP(C375,'Rev_Mapping Table'!$A$1:$C$12,3,0))</f>
        <v>195156000</v>
      </c>
      <c r="K375" s="16" t="s">
        <v>20</v>
      </c>
      <c r="L375" s="18">
        <v>0.05</v>
      </c>
      <c r="M375" s="19" t="str">
        <f>VLOOKUP(B375,Master_Mapper!$A$2:$C$628,3,0)</f>
        <v>Pamlico Capital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</row>
    <row r="376">
      <c r="A376" s="21" t="b">
        <v>0</v>
      </c>
      <c r="B376" s="31" t="s">
        <v>631</v>
      </c>
      <c r="C376" s="21" t="str">
        <f>vlookup(B376,Vert_Mapper!$A$2:$C$567,2,0)</f>
        <v>Consumer Staples</v>
      </c>
      <c r="D376" s="21" t="str">
        <f>vlookup(B376,Vert_Mapper!$A$2:$C$567,3,0)</f>
        <v>Food &amp; Beverage Manufacturing</v>
      </c>
      <c r="E376" s="21" t="s">
        <v>26</v>
      </c>
      <c r="F376" s="21" t="s">
        <v>18</v>
      </c>
      <c r="G376" s="21" t="str">
        <f t="shared" si="1"/>
        <v>HYPERGROWTH</v>
      </c>
      <c r="H376" s="21" t="s">
        <v>131</v>
      </c>
      <c r="I376" s="24" t="str">
        <f>IFERROR(__xludf.DUMMYFUNCTION("ROUND(
  MAX(
    MIN(
      (
        (VALUE(INDEX(SPLIT(K376,""-""),1)) + VALUE(INDEX(SPLIT(K376,""-""),2))) / 2
      ) *
      IFS(
        L376&gt;0.4, 1.6,
        L376&gt;0.1, 1.3,
        L376&gt;=-0.05, 1,
        L376&gt;=-0.2, 0.85,
        TRUE, 0.7
     "&amp;" ),
      VALUE(INDEX(SPLIT(K376,""-""),2))
    ),
    VALUE(INDEX(SPLIT(K376,""-""),1))
  )
)"),"#VALUE!")</f>
        <v>#VALUE!</v>
      </c>
      <c r="J376" s="25" t="str">
        <f>I376*(VLOOKUP(C376,'Rev_Mapping Table'!$A$1:$C$12,3,0))</f>
        <v>#VALUE!</v>
      </c>
      <c r="K376" s="35" t="s">
        <v>131</v>
      </c>
      <c r="L376" s="35" t="s">
        <v>131</v>
      </c>
      <c r="M376" s="27" t="str">
        <f>VLOOKUP(B376,Master_Mapper!$A$2:$C$628,3,0)</f>
        <v>Cape Fear Ventures</v>
      </c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</row>
    <row r="377">
      <c r="A377" s="13" t="b">
        <v>0</v>
      </c>
      <c r="B377" s="14" t="s">
        <v>632</v>
      </c>
      <c r="C377" s="13" t="str">
        <f>vlookup(B377,Vert_Mapper!$A$2:$C$567,2,0)</f>
        <v>Industrials</v>
      </c>
      <c r="D377" s="13" t="str">
        <f>vlookup(B377,Vert_Mapper!$A$2:$C$567,3,0)</f>
        <v>Home Services / Construction / Industrial Services</v>
      </c>
      <c r="E377" s="13" t="s">
        <v>29</v>
      </c>
      <c r="F377" s="13" t="s">
        <v>34</v>
      </c>
      <c r="G377" s="13" t="str">
        <f t="shared" si="1"/>
        <v>GROWTH PHASE</v>
      </c>
      <c r="H377" s="13" t="s">
        <v>633</v>
      </c>
      <c r="I377" s="16">
        <f>IFERROR(__xludf.DUMMYFUNCTION("ROUND(
  MAX(
    MIN(
      (
        (VALUE(INDEX(SPLIT(K377,""-""),1)) + VALUE(INDEX(SPLIT(K377,""-""),2))) / 2
      ) *
      IFS(
        L377&gt;0.4, 1.6,
        L377&gt;0.1, 1.3,
        L377&gt;=-0.05, 1,
        L377&gt;=-0.2, 0.85,
        TRUE, 0.7
     "&amp;" ),
      VALUE(INDEX(SPLIT(K377,""-""),2))
    ),
    VALUE(INDEX(SPLIT(K377,""-""),1))
  )
)"),7501.0)</f>
        <v>7501</v>
      </c>
      <c r="J377" s="17">
        <f>I377*(VLOOKUP(C377,'Rev_Mapping Table'!$A$1:$C$12,3,0))</f>
        <v>3697993000</v>
      </c>
      <c r="K377" s="16" t="s">
        <v>81</v>
      </c>
      <c r="L377" s="18">
        <v>0.09</v>
      </c>
      <c r="M377" s="19" t="str">
        <f>VLOOKUP(B377,Master_Mapper!$A$2:$C$628,3,0)</f>
        <v>Succession Capital Partners</v>
      </c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</row>
    <row r="378">
      <c r="A378" s="21" t="b">
        <v>0</v>
      </c>
      <c r="B378" s="31" t="s">
        <v>634</v>
      </c>
      <c r="C378" s="21" t="str">
        <f>vlookup(B378,Vert_Mapper!$A$2:$C$567,2,0)</f>
        <v>Consumer Discretionary</v>
      </c>
      <c r="D378" s="21" t="str">
        <f>vlookup(B378,Vert_Mapper!$A$2:$C$567,3,0)</f>
        <v>Consumer Products</v>
      </c>
      <c r="E378" s="21" t="s">
        <v>26</v>
      </c>
      <c r="F378" s="21" t="s">
        <v>18</v>
      </c>
      <c r="G378" s="21" t="str">
        <f t="shared" si="1"/>
        <v>GROWTH PHASE</v>
      </c>
      <c r="H378" s="21" t="s">
        <v>143</v>
      </c>
      <c r="I378" s="24">
        <f>IFERROR(__xludf.DUMMYFUNCTION("ROUND(
  MAX(
    MIN(
      (
        (VALUE(INDEX(SPLIT(K378,""-""),1)) + VALUE(INDEX(SPLIT(K378,""-""),2))) / 2
      ) *
      IFS(
        L378&gt;0.4, 1.6,
        L378&gt;0.1, 1.3,
        L378&gt;=-0.05, 1,
        L378&gt;=-0.2, 0.85,
        TRUE, 0.7
     "&amp;" ),
      VALUE(INDEX(SPLIT(K378,""-""),2))
    ),
    VALUE(INDEX(SPLIT(K378,""-""),1))
  )
)"),163.0)</f>
        <v>163</v>
      </c>
      <c r="J378" s="25">
        <f>I378*(VLOOKUP(C378,'Rev_Mapping Table'!$A$1:$C$12,3,0))</f>
        <v>83456000</v>
      </c>
      <c r="K378" s="24" t="s">
        <v>32</v>
      </c>
      <c r="L378" s="26">
        <v>0.19</v>
      </c>
      <c r="M378" s="27" t="str">
        <f>VLOOKUP(B378,Master_Mapper!$A$2:$C$628,3,0)</f>
        <v>Vibora Capital</v>
      </c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</row>
    <row r="379">
      <c r="A379" s="13" t="b">
        <v>0</v>
      </c>
      <c r="B379" s="14" t="s">
        <v>635</v>
      </c>
      <c r="C379" s="13" t="str">
        <f>vlookup(B379,Vert_Mapper!$A$2:$C$567,2,0)</f>
        <v>Industrials</v>
      </c>
      <c r="D379" s="13" t="str">
        <f>vlookup(B379,Vert_Mapper!$A$2:$C$567,3,0)</f>
        <v>Manufacturing &amp; Processing</v>
      </c>
      <c r="E379" s="13" t="s">
        <v>138</v>
      </c>
      <c r="F379" s="13" t="s">
        <v>18</v>
      </c>
      <c r="G379" s="13" t="str">
        <f t="shared" si="1"/>
        <v>GROWTH PHASE</v>
      </c>
      <c r="H379" s="13" t="s">
        <v>636</v>
      </c>
      <c r="I379" s="16">
        <f>IFERROR(__xludf.DUMMYFUNCTION("ROUND(
  MAX(
    MIN(
      (
        (VALUE(INDEX(SPLIT(K379,""-""),1)) + VALUE(INDEX(SPLIT(K379,""-""),2))) / 2
      ) *
      IFS(
        L379&gt;0.4, 1.6,
        L379&gt;0.1, 1.3,
        L379&gt;=-0.05, 1,
        L379&gt;=-0.2, 0.85,
        TRUE, 0.7
     "&amp;" ),
      VALUE(INDEX(SPLIT(K379,""-""),2))
    ),
    VALUE(INDEX(SPLIT(K379,""-""),1))
  )
)"),163.0)</f>
        <v>163</v>
      </c>
      <c r="J379" s="17">
        <f>I379*(VLOOKUP(C379,'Rev_Mapping Table'!$A$1:$C$12,3,0))</f>
        <v>80359000</v>
      </c>
      <c r="K379" s="16" t="s">
        <v>32</v>
      </c>
      <c r="L379" s="18">
        <v>0.12</v>
      </c>
      <c r="M379" s="19" t="str">
        <f>VLOOKUP(B379,Master_Mapper!$A$2:$C$628,3,0)</f>
        <v>Monomoy Capital Partners</v>
      </c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</row>
    <row r="380">
      <c r="A380" s="21" t="b">
        <v>0</v>
      </c>
      <c r="B380" s="31" t="s">
        <v>637</v>
      </c>
      <c r="C380" s="21" t="str">
        <f>vlookup(B380,Vert_Mapper!$A$2:$C$567,2,0)</f>
        <v>Healthcare</v>
      </c>
      <c r="D380" s="21" t="str">
        <f>vlookup(B380,Vert_Mapper!$A$2:$C$567,3,0)</f>
        <v>Medical Devices &amp; Technology</v>
      </c>
      <c r="E380" s="21" t="s">
        <v>26</v>
      </c>
      <c r="F380" s="21" t="s">
        <v>18</v>
      </c>
      <c r="G380" s="21" t="str">
        <f t="shared" si="1"/>
        <v>FLAT TO NEUTRAL</v>
      </c>
      <c r="H380" s="21" t="s">
        <v>638</v>
      </c>
      <c r="I380" s="24" t="str">
        <f>IFERROR(__xludf.DUMMYFUNCTION("ROUND(
  MAX(
    MIN(
      (
        (VALUE(INDEX(SPLIT(K380,""-""),1)) + VALUE(INDEX(SPLIT(K380,""-""),2))) / 2
      ) *
      IFS(
        L380&gt;0.4, 1.6,
        L380&gt;0.1, 1.3,
        L380&gt;=-0.05, 1,
        L380&gt;=-0.2, 0.85,
        TRUE, 0.7
     "&amp;" ),
      VALUE(INDEX(SPLIT(K380,""-""),2))
    ),
    VALUE(INDEX(SPLIT(K380,""-""),1))
  )
)"),"#VALUE!")</f>
        <v>#VALUE!</v>
      </c>
      <c r="J380" s="25" t="str">
        <f>I380*(VLOOKUP(C380,'Rev_Mapping Table'!$A$1:$C$12,3,0))</f>
        <v>#VALUE!</v>
      </c>
      <c r="K380" s="24" t="s">
        <v>450</v>
      </c>
      <c r="L380" s="26">
        <v>0.03</v>
      </c>
      <c r="M380" s="27" t="str">
        <f>VLOOKUP(B380,Master_Mapper!$A$2:$C$628,3,0)</f>
        <v>Cerity Partners</v>
      </c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</row>
    <row r="381">
      <c r="A381" s="13" t="b">
        <v>1</v>
      </c>
      <c r="B381" s="14" t="s">
        <v>639</v>
      </c>
      <c r="C381" s="13" t="str">
        <f>vlookup(B381,Vert_Mapper!$A$2:$C$567,2,0)</f>
        <v>Healthcare</v>
      </c>
      <c r="D381" s="13" t="str">
        <f>vlookup(B381,Vert_Mapper!$A$2:$C$567,3,0)</f>
        <v>Biotechnology &amp; Pharmaceuticals</v>
      </c>
      <c r="E381" s="13" t="s">
        <v>26</v>
      </c>
      <c r="F381" s="13" t="s">
        <v>18</v>
      </c>
      <c r="G381" s="13" t="str">
        <f t="shared" si="1"/>
        <v>ACCELERATED GROWTH</v>
      </c>
      <c r="H381" s="13" t="s">
        <v>640</v>
      </c>
      <c r="I381" s="16">
        <f>IFERROR(__xludf.DUMMYFUNCTION("ROUND(
  MAX(
    MIN(
      (
        (VALUE(INDEX(SPLIT(K381,""-""),1)) + VALUE(INDEX(SPLIT(K381,""-""),2))) / 2
      ) *
      IFS(
        L381&gt;0.4, 1.6,
        L381&gt;0.1, 1.3,
        L381&gt;=-0.05, 1,
        L381&gt;=-0.2, 0.85,
        TRUE, 0.7
     "&amp;" ),
      VALUE(INDEX(SPLIT(K381,""-""),2))
    ),
    VALUE(INDEX(SPLIT(K381,""-""),1))
  )
)"),49.0)</f>
        <v>49</v>
      </c>
      <c r="J381" s="17">
        <f>I381*(VLOOKUP(C381,'Rev_Mapping Table'!$A$1:$C$12,3,0))</f>
        <v>27244000</v>
      </c>
      <c r="K381" s="16" t="s">
        <v>25</v>
      </c>
      <c r="L381" s="18">
        <v>0.43</v>
      </c>
      <c r="M381" s="19" t="str">
        <f>VLOOKUP(B381,Master_Mapper!$A$2:$C$628,3,0)</f>
        <v>Cerity Partners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</row>
    <row r="382">
      <c r="A382" s="21" t="b">
        <v>0</v>
      </c>
      <c r="B382" s="31" t="s">
        <v>641</v>
      </c>
      <c r="C382" s="21" t="str">
        <f>vlookup(B382,Vert_Mapper!$A$2:$C$567,2,0)</f>
        <v>Industrials</v>
      </c>
      <c r="D382" s="21" t="str">
        <f>vlookup(B382,Vert_Mapper!$A$2:$C$567,3,0)</f>
        <v>Industrial Equipment &amp; Services</v>
      </c>
      <c r="E382" s="21" t="s">
        <v>26</v>
      </c>
      <c r="F382" s="21" t="s">
        <v>18</v>
      </c>
      <c r="G382" s="21" t="str">
        <f t="shared" si="1"/>
        <v>GROWTH PHASE</v>
      </c>
      <c r="H382" s="21" t="s">
        <v>642</v>
      </c>
      <c r="I382" s="24">
        <f>IFERROR(__xludf.DUMMYFUNCTION("ROUND(
  MAX(
    MIN(
      (
        (VALUE(INDEX(SPLIT(K382,""-""),1)) + VALUE(INDEX(SPLIT(K382,""-""),2))) / 2
      ) *
      IFS(
        L382&gt;0.4, 1.6,
        L382&gt;0.1, 1.3,
        L382&gt;=-0.05, 1,
        L382&gt;=-0.2, 0.85,
        TRUE, 0.7
     "&amp;" ),
      VALUE(INDEX(SPLIT(K382,""-""),2))
    ),
    VALUE(INDEX(SPLIT(K382,""-""),1))
  )
)"),126.0)</f>
        <v>126</v>
      </c>
      <c r="J382" s="25">
        <f>I382*(VLOOKUP(C382,'Rev_Mapping Table'!$A$1:$C$12,3,0))</f>
        <v>62118000</v>
      </c>
      <c r="K382" s="24" t="s">
        <v>32</v>
      </c>
      <c r="L382" s="26">
        <v>0.09</v>
      </c>
      <c r="M382" s="27" t="str">
        <f>VLOOKUP(B382,Master_Mapper!$A$2:$C$628,3,0)</f>
        <v>Carousel Capital</v>
      </c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</row>
    <row r="383">
      <c r="A383" s="13" t="b">
        <v>0</v>
      </c>
      <c r="B383" s="14" t="s">
        <v>643</v>
      </c>
      <c r="C383" s="13" t="str">
        <f>vlookup(B383,Vert_Mapper!$A$2:$C$567,2,0)</f>
        <v>Information Technology</v>
      </c>
      <c r="D383" s="13" t="str">
        <f>vlookup(B383,Vert_Mapper!$A$2:$C$567,3,0)</f>
        <v>Security &amp; Cybersecurity</v>
      </c>
      <c r="E383" s="13" t="s">
        <v>26</v>
      </c>
      <c r="F383" s="13" t="s">
        <v>18</v>
      </c>
      <c r="G383" s="13" t="str">
        <f t="shared" si="1"/>
        <v>FLAT TO NEUTRAL</v>
      </c>
      <c r="H383" s="13" t="s">
        <v>544</v>
      </c>
      <c r="I383" s="16">
        <f>IFERROR(__xludf.DUMMYFUNCTION("ROUND(
  MAX(
    MIN(
      (
        (VALUE(INDEX(SPLIT(K383,""-""),1)) + VALUE(INDEX(SPLIT(K383,""-""),2))) / 2
      ) *
      IFS(
        L383&gt;0.4, 1.6,
        L383&gt;0.1, 1.3,
        L383&gt;=-0.05, 1,
        L383&gt;=-0.2, 0.85,
        TRUE, 0.7
     "&amp;" ),
      VALUE(INDEX(SPLIT(K383,""-""),2))
    ),
    VALUE(INDEX(SPLIT(K383,""-""),1))
  )
)"),31.0)</f>
        <v>31</v>
      </c>
      <c r="J383" s="17">
        <f>I383*(VLOOKUP(C383,'Rev_Mapping Table'!$A$1:$C$12,3,0))</f>
        <v>17484000</v>
      </c>
      <c r="K383" s="16" t="s">
        <v>25</v>
      </c>
      <c r="L383" s="18">
        <v>0.0</v>
      </c>
      <c r="M383" s="19" t="str">
        <f>VLOOKUP(B383,Master_Mapper!$A$2:$C$628,3,0)</f>
        <v>VentureSouth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</row>
    <row r="384">
      <c r="A384" s="21" t="b">
        <v>0</v>
      </c>
      <c r="B384" s="31" t="s">
        <v>644</v>
      </c>
      <c r="C384" s="21" t="str">
        <f>vlookup(B384,Vert_Mapper!$A$2:$C$567,2,0)</f>
        <v>Industrials</v>
      </c>
      <c r="D384" s="21" t="str">
        <f>vlookup(B384,Vert_Mapper!$A$2:$C$567,3,0)</f>
        <v>Home Services / Construction / Industrial Services</v>
      </c>
      <c r="E384" s="21" t="s">
        <v>65</v>
      </c>
      <c r="F384" s="21" t="s">
        <v>30</v>
      </c>
      <c r="G384" s="21" t="str">
        <f t="shared" si="1"/>
        <v>HYPERGROWTH</v>
      </c>
      <c r="H384" s="21" t="s">
        <v>433</v>
      </c>
      <c r="I384" s="24" t="str">
        <f>IFERROR(__xludf.DUMMYFUNCTION("ROUND(
  MAX(
    MIN(
      (
        (VALUE(INDEX(SPLIT(K384,""-""),1)) + VALUE(INDEX(SPLIT(K384,""-""),2))) / 2
      ) *
      IFS(
        L384&gt;0.4, 1.6,
        L384&gt;0.1, 1.3,
        L384&gt;=-0.05, 1,
        L384&gt;=-0.2, 0.85,
        TRUE, 0.7
     "&amp;" ),
      VALUE(INDEX(SPLIT(K384,""-""),2))
    ),
    VALUE(INDEX(SPLIT(K384,""-""),1))
  )
)"),"#VALUE!")</f>
        <v>#VALUE!</v>
      </c>
      <c r="J384" s="25" t="str">
        <f>I384*(VLOOKUP(C384,'Rev_Mapping Table'!$A$1:$C$12,3,0))</f>
        <v>#VALUE!</v>
      </c>
      <c r="K384" s="35" t="s">
        <v>433</v>
      </c>
      <c r="L384" s="35" t="s">
        <v>433</v>
      </c>
      <c r="M384" s="27" t="str">
        <f>VLOOKUP(B384,Master_Mapper!$A$2:$C$628,3,0)</f>
        <v>Envest Capital Partners</v>
      </c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</row>
    <row r="385">
      <c r="A385" s="13" t="b">
        <v>0</v>
      </c>
      <c r="B385" s="14" t="s">
        <v>645</v>
      </c>
      <c r="C385" s="13" t="str">
        <f>vlookup(B385,Vert_Mapper!$A$2:$C$567,2,0)</f>
        <v>Information Technology</v>
      </c>
      <c r="D385" s="13" t="str">
        <f>vlookup(B385,Vert_Mapper!$A$2:$C$567,3,0)</f>
        <v>Security &amp; Cybersecurity</v>
      </c>
      <c r="E385" s="13" t="s">
        <v>26</v>
      </c>
      <c r="F385" s="13" t="s">
        <v>18</v>
      </c>
      <c r="G385" s="13" t="str">
        <f t="shared" si="1"/>
        <v>DECLINING</v>
      </c>
      <c r="H385" s="13" t="s">
        <v>53</v>
      </c>
      <c r="I385" s="16">
        <f>IFERROR(__xludf.DUMMYFUNCTION("ROUND(
  MAX(
    MIN(
      (
        (VALUE(INDEX(SPLIT(K385,""-""),1)) + VALUE(INDEX(SPLIT(K385,""-""),2))) / 2
      ) *
      IFS(
        L385&gt;0.4, 1.6,
        L385&gt;0.1, 1.3,
        L385&gt;=-0.05, 1,
        L385&gt;=-0.2, 0.85,
        TRUE, 0.7
     "&amp;" ),
      VALUE(INDEX(SPLIT(K385,""-""),2))
    ),
    VALUE(INDEX(SPLIT(K385,""-""),1))
  )
)"),26.0)</f>
        <v>26</v>
      </c>
      <c r="J385" s="17">
        <f>I385*(VLOOKUP(C385,'Rev_Mapping Table'!$A$1:$C$12,3,0))</f>
        <v>14664000</v>
      </c>
      <c r="K385" s="16" t="s">
        <v>25</v>
      </c>
      <c r="L385" s="18">
        <v>-0.13</v>
      </c>
      <c r="M385" s="19" t="str">
        <f>VLOOKUP(B385,Master_Mapper!$A$2:$C$628,3,0)</f>
        <v>Cerity Partners</v>
      </c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</row>
    <row r="386">
      <c r="A386" s="21" t="b">
        <v>1</v>
      </c>
      <c r="B386" s="31" t="s">
        <v>646</v>
      </c>
      <c r="C386" s="21" t="str">
        <f>vlookup(B386,Vert_Mapper!$A$2:$C$567,2,0)</f>
        <v>Healthcare</v>
      </c>
      <c r="D386" s="21" t="str">
        <f>vlookup(B386,Vert_Mapper!$A$2:$C$567,3,0)</f>
        <v>Medical Devices &amp; Technology</v>
      </c>
      <c r="E386" s="21" t="s">
        <v>85</v>
      </c>
      <c r="F386" s="21" t="s">
        <v>18</v>
      </c>
      <c r="G386" s="21" t="str">
        <f t="shared" si="1"/>
        <v>HYPERGROWTH</v>
      </c>
      <c r="H386" s="21" t="s">
        <v>647</v>
      </c>
      <c r="I386" s="24">
        <f>IFERROR(__xludf.DUMMYFUNCTION("ROUND(
  MAX(
    MIN(
      (
        (VALUE(INDEX(SPLIT(K386,""-""),1)) + VALUE(INDEX(SPLIT(K386,""-""),2))) / 2
      ) *
      IFS(
        L386&gt;0.4, 1.6,
        L386&gt;0.1, 1.3,
        L386&gt;=-0.05, 1,
        L386&gt;=-0.2, 0.85,
        TRUE, 0.7
     "&amp;" ),
      VALUE(INDEX(SPLIT(K386,""-""),2))
    ),
    VALUE(INDEX(SPLIT(K386,""-""),1))
  )
)"),500.0)</f>
        <v>500</v>
      </c>
      <c r="J386" s="25">
        <f>I386*(VLOOKUP(C386,'Rev_Mapping Table'!$A$1:$C$12,3,0))</f>
        <v>278000000</v>
      </c>
      <c r="K386" s="24" t="s">
        <v>20</v>
      </c>
      <c r="L386" s="26">
        <v>2.53</v>
      </c>
      <c r="M386" s="27" t="str">
        <f>VLOOKUP(B386,Master_Mapper!$A$2:$C$628,3,0)</f>
        <v>Tidewater Equity Partners</v>
      </c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</row>
    <row r="387">
      <c r="A387" s="13" t="b">
        <v>0</v>
      </c>
      <c r="B387" s="14" t="s">
        <v>648</v>
      </c>
      <c r="C387" s="13" t="str">
        <f>vlookup(B387,Vert_Mapper!$A$2:$C$567,2,0)</f>
        <v>Industrials</v>
      </c>
      <c r="D387" s="13" t="str">
        <f>vlookup(B387,Vert_Mapper!$A$2:$C$567,3,0)</f>
        <v>Manufacturing &amp; Processing</v>
      </c>
      <c r="E387" s="13" t="s">
        <v>26</v>
      </c>
      <c r="F387" s="13" t="s">
        <v>18</v>
      </c>
      <c r="G387" s="13" t="str">
        <f t="shared" si="1"/>
        <v>GROWTH PHASE</v>
      </c>
      <c r="H387" s="13" t="s">
        <v>649</v>
      </c>
      <c r="I387" s="16">
        <f>IFERROR(__xludf.DUMMYFUNCTION("ROUND(
  MAX(
    MIN(
      (
        (VALUE(INDEX(SPLIT(K387,""-""),1)) + VALUE(INDEX(SPLIT(K387,""-""),2))) / 2
      ) *
      IFS(
        L387&gt;0.4, 1.6,
        L387&gt;0.1, 1.3,
        L387&gt;=-0.05, 1,
        L387&gt;=-0.2, 0.85,
        TRUE, 0.7
     "&amp;" ),
      VALUE(INDEX(SPLIT(K387,""-""),2))
    ),
    VALUE(INDEX(SPLIT(K387,""-""),1))
  )
)"),3001.0)</f>
        <v>3001</v>
      </c>
      <c r="J387" s="17">
        <f>I387*(VLOOKUP(C387,'Rev_Mapping Table'!$A$1:$C$12,3,0))</f>
        <v>1479493000</v>
      </c>
      <c r="K387" s="16" t="s">
        <v>96</v>
      </c>
      <c r="L387" s="18">
        <v>0.05</v>
      </c>
      <c r="M387" s="19" t="str">
        <f>VLOOKUP(B387,Master_Mapper!$A$2:$C$628,3,0)</f>
        <v>Monomoy Capital Partners</v>
      </c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</row>
    <row r="388">
      <c r="A388" s="21" t="b">
        <v>0</v>
      </c>
      <c r="B388" s="31" t="s">
        <v>650</v>
      </c>
      <c r="C388" s="21" t="str">
        <f>vlookup(B388,Vert_Mapper!$A$2:$C$567,2,0)</f>
        <v>Energy</v>
      </c>
      <c r="D388" s="21" t="str">
        <f>vlookup(B388,Vert_Mapper!$A$2:$C$567,3,0)</f>
        <v>Renewable Energy</v>
      </c>
      <c r="E388" s="21" t="s">
        <v>26</v>
      </c>
      <c r="F388" s="21" t="s">
        <v>18</v>
      </c>
      <c r="G388" s="21" t="str">
        <f t="shared" si="1"/>
        <v>GROWTH PHASE</v>
      </c>
      <c r="H388" s="21" t="s">
        <v>518</v>
      </c>
      <c r="I388" s="24">
        <f>IFERROR(__xludf.DUMMYFUNCTION("ROUND(
  MAX(
    MIN(
      (
        (VALUE(INDEX(SPLIT(K388,""-""),1)) + VALUE(INDEX(SPLIT(K388,""-""),2))) / 2
      ) *
      IFS(
        L388&gt;0.4, 1.6,
        L388&gt;0.1, 1.3,
        L388&gt;=-0.05, 1,
        L388&gt;=-0.2, 0.85,
        TRUE, 0.7
     "&amp;" ),
      VALUE(INDEX(SPLIT(K388,""-""),2))
    ),
    VALUE(INDEX(SPLIT(K388,""-""),1))
  )
)"),8.0)</f>
        <v>8</v>
      </c>
      <c r="J388" s="25">
        <f>I388*(VLOOKUP(C388,'Rev_Mapping Table'!$A$1:$C$12,3,0))</f>
        <v>24240000</v>
      </c>
      <c r="K388" s="32">
        <v>45698.0</v>
      </c>
      <c r="L388" s="26">
        <v>0.13</v>
      </c>
      <c r="M388" s="27" t="str">
        <f>VLOOKUP(B388,Master_Mapper!$A$2:$C$628,3,0)</f>
        <v>Vibora Capital</v>
      </c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</row>
    <row r="389">
      <c r="A389" s="13" t="b">
        <v>0</v>
      </c>
      <c r="B389" s="14" t="s">
        <v>651</v>
      </c>
      <c r="C389" s="13" t="str">
        <f>vlookup(B389,Vert_Mapper!$A$2:$C$567,2,0)</f>
        <v>Materials</v>
      </c>
      <c r="D389" s="13" t="str">
        <f>vlookup(B389,Vert_Mapper!$A$2:$C$567,3,0)</f>
        <v>Environmental &amp; Sustainability</v>
      </c>
      <c r="E389" s="13" t="s">
        <v>26</v>
      </c>
      <c r="F389" s="13" t="s">
        <v>18</v>
      </c>
      <c r="G389" s="13" t="str">
        <f t="shared" si="1"/>
        <v>ACCELERATED GROWTH</v>
      </c>
      <c r="H389" s="13" t="s">
        <v>652</v>
      </c>
      <c r="I389" s="16">
        <f>IFERROR(__xludf.DUMMYFUNCTION("ROUND(
  MAX(
    MIN(
      (
        (VALUE(INDEX(SPLIT(K389,""-""),1)) + VALUE(INDEX(SPLIT(K389,""-""),2))) / 2
      ) *
      IFS(
        L389&gt;0.4, 1.6,
        L389&gt;0.1, 1.3,
        L389&gt;=-0.05, 1,
        L389&gt;=-0.2, 0.85,
        TRUE, 0.7
     "&amp;" ),
      VALUE(INDEX(SPLIT(K389,""-""),2))
    ),
    VALUE(INDEX(SPLIT(K389,""-""),1))
  )
)"),163.0)</f>
        <v>163</v>
      </c>
      <c r="J389" s="17">
        <f>I389*(VLOOKUP(C389,'Rev_Mapping Table'!$A$1:$C$12,3,0))</f>
        <v>80359000</v>
      </c>
      <c r="K389" s="16" t="s">
        <v>32</v>
      </c>
      <c r="L389" s="18">
        <v>0.39</v>
      </c>
      <c r="M389" s="19" t="str">
        <f>VLOOKUP(B389,Master_Mapper!$A$2:$C$628,3,0)</f>
        <v>Cerity Partners</v>
      </c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</row>
    <row r="390">
      <c r="A390" s="21" t="b">
        <v>0</v>
      </c>
      <c r="B390" s="31" t="s">
        <v>653</v>
      </c>
      <c r="C390" s="21" t="str">
        <f>vlookup(B390,Vert_Mapper!$A$2:$C$567,2,0)</f>
        <v>Real Estate</v>
      </c>
      <c r="D390" s="21" t="str">
        <f>vlookup(B390,Vert_Mapper!$A$2:$C$567,3,0)</f>
        <v>Hospitality &amp; Resorts</v>
      </c>
      <c r="E390" s="21" t="s">
        <v>175</v>
      </c>
      <c r="F390" s="21" t="s">
        <v>34</v>
      </c>
      <c r="G390" s="21" t="str">
        <f t="shared" si="1"/>
        <v>GROWTH PHASE</v>
      </c>
      <c r="H390" s="21" t="s">
        <v>654</v>
      </c>
      <c r="I390" s="24">
        <f>IFERROR(__xludf.DUMMYFUNCTION("ROUND(
  MAX(
    MIN(
      (
        (VALUE(INDEX(SPLIT(K390,""-""),1)) + VALUE(INDEX(SPLIT(K390,""-""),2))) / 2
      ) *
      IFS(
        L390&gt;0.4, 1.6,
        L390&gt;0.1, 1.3,
        L390&gt;=-0.05, 1,
        L390&gt;=-0.2, 0.85,
        TRUE, 0.7
     "&amp;" ),
      VALUE(INDEX(SPLIT(K390,""-""),2))
    ),
    VALUE(INDEX(SPLIT(K390,""-""),1))
  )
)"),751.0)</f>
        <v>751</v>
      </c>
      <c r="J390" s="25">
        <f>I390*(VLOOKUP(C390,'Rev_Mapping Table'!$A$1:$C$12,3,0))</f>
        <v>345460000</v>
      </c>
      <c r="K390" s="24" t="s">
        <v>54</v>
      </c>
      <c r="L390" s="26">
        <v>0.04</v>
      </c>
      <c r="M390" s="27" t="str">
        <f>VLOOKUP(B390,Master_Mapper!$A$2:$C$628,3,0)</f>
        <v>South Street Partners (Charlotte)</v>
      </c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</row>
    <row r="391">
      <c r="A391" s="13" t="b">
        <v>0</v>
      </c>
      <c r="B391" s="14" t="s">
        <v>655</v>
      </c>
      <c r="C391" s="13" t="str">
        <f>vlookup(B391,Vert_Mapper!$A$2:$C$567,2,0)</f>
        <v>Information Technology</v>
      </c>
      <c r="D391" s="13" t="str">
        <f>vlookup(B391,Vert_Mapper!$A$2:$C$567,3,0)</f>
        <v>Software &amp; SaaS</v>
      </c>
      <c r="E391" s="13" t="s">
        <v>65</v>
      </c>
      <c r="F391" s="13" t="s">
        <v>18</v>
      </c>
      <c r="G391" s="13" t="str">
        <f t="shared" si="1"/>
        <v>GROWTH PHASE</v>
      </c>
      <c r="H391" s="13" t="s">
        <v>656</v>
      </c>
      <c r="I391" s="16">
        <f>IFERROR(__xludf.DUMMYFUNCTION("ROUND(
  MAX(
    MIN(
      (
        (VALUE(INDEX(SPLIT(K391,""-""),1)) + VALUE(INDEX(SPLIT(K391,""-""),2))) / 2
      ) *
      IFS(
        L391&gt;0.4, 1.6,
        L391&gt;0.1, 1.3,
        L391&gt;=-0.05, 1,
        L391&gt;=-0.2, 0.85,
        TRUE, 0.7
     "&amp;" ),
      VALUE(INDEX(SPLIT(K391,""-""),2))
    ),
    VALUE(INDEX(SPLIT(K391,""-""),1))
  )
)"),163.0)</f>
        <v>163</v>
      </c>
      <c r="J391" s="17">
        <f>I391*(VLOOKUP(C391,'Rev_Mapping Table'!$A$1:$C$12,3,0))</f>
        <v>91932000</v>
      </c>
      <c r="K391" s="16" t="s">
        <v>32</v>
      </c>
      <c r="L391" s="18">
        <v>0.17</v>
      </c>
      <c r="M391" s="19" t="str">
        <f>VLOOKUP(B391,Master_Mapper!$A$2:$C$628,3,0)</f>
        <v>Route 2 Capital Partners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</row>
    <row r="392">
      <c r="A392" s="21" t="b">
        <v>0</v>
      </c>
      <c r="B392" s="31" t="s">
        <v>657</v>
      </c>
      <c r="C392" s="21" t="str">
        <f>vlookup(B392,Vert_Mapper!$A$2:$C$567,2,0)</f>
        <v>Healthcare</v>
      </c>
      <c r="D392" s="21" t="str">
        <f>vlookup(B392,Vert_Mapper!$A$2:$C$567,3,0)</f>
        <v>Medical Devices &amp; Technology</v>
      </c>
      <c r="E392" s="21" t="s">
        <v>26</v>
      </c>
      <c r="F392" s="21" t="s">
        <v>18</v>
      </c>
      <c r="G392" s="21" t="str">
        <f t="shared" si="1"/>
        <v>ACCELERATED GROWTH</v>
      </c>
      <c r="H392" s="21" t="s">
        <v>658</v>
      </c>
      <c r="I392" s="24">
        <f>IFERROR(__xludf.DUMMYFUNCTION("ROUND(
  MAX(
    MIN(
      (
        (VALUE(INDEX(SPLIT(K392,""-""),1)) + VALUE(INDEX(SPLIT(K392,""-""),2))) / 2
      ) *
      IFS(
        L392&gt;0.4, 1.6,
        L392&gt;0.1, 1.3,
        L392&gt;=-0.05, 1,
        L392&gt;=-0.2, 0.85,
        TRUE, 0.7
     "&amp;" ),
      VALUE(INDEX(SPLIT(K392,""-""),2))
    ),
    VALUE(INDEX(SPLIT(K392,""-""),1))
  )
)"),40.0)</f>
        <v>40</v>
      </c>
      <c r="J392" s="25">
        <f>I392*(VLOOKUP(C392,'Rev_Mapping Table'!$A$1:$C$12,3,0))</f>
        <v>22240000</v>
      </c>
      <c r="K392" s="24" t="s">
        <v>25</v>
      </c>
      <c r="L392" s="26">
        <v>0.33</v>
      </c>
      <c r="M392" s="27" t="str">
        <f>VLOOKUP(B392,Master_Mapper!$A$2:$C$628,3,0)</f>
        <v>Harbright Ventures</v>
      </c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</row>
    <row r="393">
      <c r="A393" s="13" t="b">
        <v>0</v>
      </c>
      <c r="B393" s="14" t="s">
        <v>659</v>
      </c>
      <c r="C393" s="13" t="str">
        <f>vlookup(B393,Vert_Mapper!$A$2:$C$567,2,0)</f>
        <v>Healthcare</v>
      </c>
      <c r="D393" s="13" t="str">
        <f>vlookup(B393,Vert_Mapper!$A$2:$C$567,3,0)</f>
        <v>Medical Devices &amp; Technology</v>
      </c>
      <c r="E393" s="13" t="s">
        <v>26</v>
      </c>
      <c r="F393" s="13" t="s">
        <v>18</v>
      </c>
      <c r="G393" s="13" t="str">
        <f t="shared" si="1"/>
        <v>GROWTH PHASE</v>
      </c>
      <c r="H393" s="13" t="s">
        <v>66</v>
      </c>
      <c r="I393" s="16">
        <f>IFERROR(__xludf.DUMMYFUNCTION("ROUND(
  MAX(
    MIN(
      (
        (VALUE(INDEX(SPLIT(K393,""-""),1)) + VALUE(INDEX(SPLIT(K393,""-""),2))) / 2
      ) *
      IFS(
        L393&gt;0.4, 1.6,
        L393&gt;0.1, 1.3,
        L393&gt;=-0.05, 1,
        L393&gt;=-0.2, 0.85,
        TRUE, 0.7
     "&amp;" ),
      VALUE(INDEX(SPLIT(K393,""-""),2))
    ),
    VALUE(INDEX(SPLIT(K393,""-""),1))
  )
)"),8.0)</f>
        <v>8</v>
      </c>
      <c r="J393" s="17">
        <f>I393*(VLOOKUP(C393,'Rev_Mapping Table'!$A$1:$C$12,3,0))</f>
        <v>4448000</v>
      </c>
      <c r="K393" s="30">
        <v>45698.0</v>
      </c>
      <c r="L393" s="18">
        <v>0.11</v>
      </c>
      <c r="M393" s="19" t="str">
        <f>VLOOKUP(B393,Master_Mapper!$A$2:$C$628,3,0)</f>
        <v>VentureSouth</v>
      </c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</row>
    <row r="394">
      <c r="A394" s="21" t="b">
        <v>0</v>
      </c>
      <c r="B394" s="31" t="s">
        <v>660</v>
      </c>
      <c r="C394" s="21" t="str">
        <f>vlookup(B394,Vert_Mapper!$A$2:$C$567,2,0)</f>
        <v>Information Technology</v>
      </c>
      <c r="D394" s="21" t="str">
        <f>vlookup(B394,Vert_Mapper!$A$2:$C$567,3,0)</f>
        <v>Software &amp; SaaS</v>
      </c>
      <c r="E394" s="21" t="s">
        <v>26</v>
      </c>
      <c r="F394" s="21" t="s">
        <v>18</v>
      </c>
      <c r="G394" s="21" t="str">
        <f t="shared" si="1"/>
        <v>GROWTH PHASE</v>
      </c>
      <c r="H394" s="21" t="s">
        <v>661</v>
      </c>
      <c r="I394" s="24">
        <f>IFERROR(__xludf.DUMMYFUNCTION("ROUND(
  MAX(
    MIN(
      (
        (VALUE(INDEX(SPLIT(K394,""-""),1)) + VALUE(INDEX(SPLIT(K394,""-""),2))) / 2
      ) *
      IFS(
        L394&gt;0.4, 1.6,
        L394&gt;0.1, 1.3,
        L394&gt;=-0.05, 1,
        L394&gt;=-0.2, 0.85,
        TRUE, 0.7
     "&amp;" ),
      VALUE(INDEX(SPLIT(K394,""-""),2))
    ),
    VALUE(INDEX(SPLIT(K394,""-""),1))
  )
)"),31.0)</f>
        <v>31</v>
      </c>
      <c r="J394" s="25">
        <f>I394*(VLOOKUP(C394,'Rev_Mapping Table'!$A$1:$C$12,3,0))</f>
        <v>17484000</v>
      </c>
      <c r="K394" s="24" t="s">
        <v>25</v>
      </c>
      <c r="L394" s="26">
        <v>0.05</v>
      </c>
      <c r="M394" s="27" t="str">
        <f>VLOOKUP(B394,Master_Mapper!$A$2:$C$628,3,0)</f>
        <v>Cock Island Capital</v>
      </c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</row>
    <row r="395">
      <c r="A395" s="13" t="b">
        <v>0</v>
      </c>
      <c r="B395" s="14" t="s">
        <v>662</v>
      </c>
      <c r="C395" s="13" t="str">
        <f>vlookup(B395,Vert_Mapper!$A$2:$C$567,2,0)</f>
        <v>Information Technology</v>
      </c>
      <c r="D395" s="13" t="str">
        <f>vlookup(B395,Vert_Mapper!$A$2:$C$567,3,0)</f>
        <v>Artificial Intelligence &amp; Machine Learning</v>
      </c>
      <c r="E395" s="13" t="s">
        <v>65</v>
      </c>
      <c r="F395" s="13" t="s">
        <v>30</v>
      </c>
      <c r="G395" s="13" t="str">
        <f t="shared" si="1"/>
        <v>FLAT TO NEUTRAL</v>
      </c>
      <c r="H395" s="13" t="s">
        <v>24</v>
      </c>
      <c r="I395" s="16">
        <f>IFERROR(__xludf.DUMMYFUNCTION("ROUND(
  MAX(
    MIN(
      (
        (VALUE(INDEX(SPLIT(K395,""-""),1)) + VALUE(INDEX(SPLIT(K395,""-""),2))) / 2
      ) *
      IFS(
        L395&gt;0.4, 1.6,
        L395&gt;0.1, 1.3,
        L395&gt;=-0.05, 1,
        L395&gt;=-0.2, 0.85,
        TRUE, 0.7
     "&amp;" ),
      VALUE(INDEX(SPLIT(K395,""-""),2))
    ),
    VALUE(INDEX(SPLIT(K395,""-""),1))
  )
)"),6.0)</f>
        <v>6</v>
      </c>
      <c r="J395" s="17">
        <f>I395*(VLOOKUP(C395,'Rev_Mapping Table'!$A$1:$C$12,3,0))</f>
        <v>3384000</v>
      </c>
      <c r="K395" s="30">
        <v>45698.0</v>
      </c>
      <c r="L395" s="18">
        <v>0.0</v>
      </c>
      <c r="M395" s="19" t="str">
        <f>VLOOKUP(B395,Master_Mapper!$A$2:$C$628,3,0)</f>
        <v/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</row>
    <row r="396">
      <c r="A396" s="21" t="b">
        <v>0</v>
      </c>
      <c r="B396" s="31" t="s">
        <v>663</v>
      </c>
      <c r="C396" s="21" t="str">
        <f>vlookup(B396,Vert_Mapper!$A$2:$C$567,2,0)</f>
        <v>Healthcare</v>
      </c>
      <c r="D396" s="21" t="str">
        <f>vlookup(B396,Vert_Mapper!$A$2:$C$567,3,0)</f>
        <v>Biotechnology &amp; Pharmaceuticals</v>
      </c>
      <c r="E396" s="21" t="s">
        <v>26</v>
      </c>
      <c r="F396" s="21" t="s">
        <v>18</v>
      </c>
      <c r="G396" s="21" t="str">
        <f t="shared" si="1"/>
        <v>HYPERGROWTH</v>
      </c>
      <c r="H396" s="21" t="s">
        <v>131</v>
      </c>
      <c r="I396" s="24" t="str">
        <f>IFERROR(__xludf.DUMMYFUNCTION("ROUND(
  MAX(
    MIN(
      (
        (VALUE(INDEX(SPLIT(K396,""-""),1)) + VALUE(INDEX(SPLIT(K396,""-""),2))) / 2
      ) *
      IFS(
        L396&gt;0.4, 1.6,
        L396&gt;0.1, 1.3,
        L396&gt;=-0.05, 1,
        L396&gt;=-0.2, 0.85,
        TRUE, 0.7
     "&amp;" ),
      VALUE(INDEX(SPLIT(K396,""-""),2))
    ),
    VALUE(INDEX(SPLIT(K396,""-""),1))
  )
)"),"#VALUE!")</f>
        <v>#VALUE!</v>
      </c>
      <c r="J396" s="25" t="str">
        <f>I396*(VLOOKUP(C396,'Rev_Mapping Table'!$A$1:$C$12,3,0))</f>
        <v>#VALUE!</v>
      </c>
      <c r="K396" s="35" t="s">
        <v>131</v>
      </c>
      <c r="L396" s="35" t="s">
        <v>131</v>
      </c>
      <c r="M396" s="27" t="str">
        <f>VLOOKUP(B396,Master_Mapper!$A$2:$C$628,3,0)</f>
        <v>Eshelman Ventures, LLC</v>
      </c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</row>
    <row r="397">
      <c r="A397" s="13" t="b">
        <v>0</v>
      </c>
      <c r="B397" s="14" t="s">
        <v>664</v>
      </c>
      <c r="C397" s="13" t="str">
        <f>vlookup(B397,Vert_Mapper!$A$2:$C$567,2,0)</f>
        <v>Information Technology</v>
      </c>
      <c r="D397" s="13" t="str">
        <f>vlookup(B397,Vert_Mapper!$A$2:$C$567,3,0)</f>
        <v>Security &amp; Cybersecurity</v>
      </c>
      <c r="E397" s="13" t="s">
        <v>65</v>
      </c>
      <c r="F397" s="13" t="s">
        <v>30</v>
      </c>
      <c r="G397" s="13" t="str">
        <f t="shared" si="1"/>
        <v>SEVERELY NEGATIVE</v>
      </c>
      <c r="H397" s="13" t="s">
        <v>665</v>
      </c>
      <c r="I397" s="16">
        <f>IFERROR(__xludf.DUMMYFUNCTION("ROUND(
  MAX(
    MIN(
      (
        (VALUE(INDEX(SPLIT(K397,""-""),1)) + VALUE(INDEX(SPLIT(K397,""-""),2))) / 2
      ) *
      IFS(
        L397&gt;0.4, 1.6,
        L397&gt;0.1, 1.3,
        L397&gt;=-0.05, 1,
        L397&gt;=-0.2, 0.85,
        TRUE, 0.7
     "&amp;" ),
      VALUE(INDEX(SPLIT(K397,""-""),2))
    ),
    VALUE(INDEX(SPLIT(K397,""-""),1))
  )
)"),21.0)</f>
        <v>21</v>
      </c>
      <c r="J397" s="17">
        <f>I397*(VLOOKUP(C397,'Rev_Mapping Table'!$A$1:$C$12,3,0))</f>
        <v>11844000</v>
      </c>
      <c r="K397" s="16" t="s">
        <v>25</v>
      </c>
      <c r="L397" s="18">
        <v>-0.45</v>
      </c>
      <c r="M397" s="19" t="str">
        <f>VLOOKUP(B397,Master_Mapper!$A$2:$C$628,3,0)</f>
        <v>Cerity Partners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</row>
    <row r="398">
      <c r="A398" s="21" t="b">
        <v>0</v>
      </c>
      <c r="B398" s="31" t="s">
        <v>666</v>
      </c>
      <c r="C398" s="21" t="str">
        <f>vlookup(B398,Vert_Mapper!$A$2:$C$567,2,0)</f>
        <v>Materials</v>
      </c>
      <c r="D398" s="21" t="str">
        <f>vlookup(B398,Vert_Mapper!$A$2:$C$567,3,0)</f>
        <v>Chemicals &amp; Petrochemicals</v>
      </c>
      <c r="E398" s="21" t="s">
        <v>26</v>
      </c>
      <c r="F398" s="21" t="s">
        <v>18</v>
      </c>
      <c r="G398" s="21" t="str">
        <f t="shared" si="1"/>
        <v>GROWTH PHASE</v>
      </c>
      <c r="H398" s="21" t="s">
        <v>57</v>
      </c>
      <c r="I398" s="24">
        <f>IFERROR(__xludf.DUMMYFUNCTION("ROUND(
  MAX(
    MIN(
      (
        (VALUE(INDEX(SPLIT(K398,""-""),1)) + VALUE(INDEX(SPLIT(K398,""-""),2))) / 2
      ) *
      IFS(
        L398&gt;0.4, 1.6,
        L398&gt;0.1, 1.3,
        L398&gt;=-0.05, 1,
        L398&gt;=-0.2, 0.85,
        TRUE, 0.7
     "&amp;" ),
      VALUE(INDEX(SPLIT(K398,""-""),2))
    ),
    VALUE(INDEX(SPLIT(K398,""-""),1))
  )
)"),126.0)</f>
        <v>126</v>
      </c>
      <c r="J398" s="25">
        <f>I398*(VLOOKUP(C398,'Rev_Mapping Table'!$A$1:$C$12,3,0))</f>
        <v>62118000</v>
      </c>
      <c r="K398" s="24" t="s">
        <v>32</v>
      </c>
      <c r="L398" s="26">
        <v>0.07</v>
      </c>
      <c r="M398" s="27" t="str">
        <f>VLOOKUP(B398,Master_Mapper!$A$2:$C$628,3,0)</f>
        <v>Route 2 Capital Partners</v>
      </c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</row>
    <row r="399">
      <c r="A399" s="13" t="b">
        <v>0</v>
      </c>
      <c r="B399" s="14" t="s">
        <v>667</v>
      </c>
      <c r="C399" s="13" t="str">
        <f>vlookup(B399,Vert_Mapper!$A$2:$C$567,2,0)</f>
        <v>Real Estate</v>
      </c>
      <c r="D399" s="13" t="str">
        <f>vlookup(B399,Vert_Mapper!$A$2:$C$567,3,0)</f>
        <v>Real Estate Services</v>
      </c>
      <c r="E399" s="13" t="s">
        <v>26</v>
      </c>
      <c r="F399" s="13" t="s">
        <v>18</v>
      </c>
      <c r="G399" s="13" t="str">
        <f t="shared" si="1"/>
        <v>FLAT TO NEUTRAL</v>
      </c>
      <c r="H399" s="13" t="s">
        <v>668</v>
      </c>
      <c r="I399" s="16">
        <f>IFERROR(__xludf.DUMMYFUNCTION("ROUND(
  MAX(
    MIN(
      (
        (VALUE(INDEX(SPLIT(K399,""-""),1)) + VALUE(INDEX(SPLIT(K399,""-""),2))) / 2
      ) *
      IFS(
        L399&gt;0.4, 1.6,
        L399&gt;0.1, 1.3,
        L399&gt;=-0.05, 1,
        L399&gt;=-0.2, 0.85,
        TRUE, 0.7
     "&amp;" ),
      VALUE(INDEX(SPLIT(K399,""-""),2))
    ),
    VALUE(INDEX(SPLIT(K399,""-""),1))
  )
)"),31.0)</f>
        <v>31</v>
      </c>
      <c r="J399" s="17">
        <f>I399*(VLOOKUP(C399,'Rev_Mapping Table'!$A$1:$C$12,3,0))</f>
        <v>14260000</v>
      </c>
      <c r="K399" s="16" t="s">
        <v>25</v>
      </c>
      <c r="L399" s="18">
        <v>0.01</v>
      </c>
      <c r="M399" s="19" t="str">
        <f>VLOOKUP(B399,Master_Mapper!$A$2:$C$628,3,0)</f>
        <v>South Street Partners (Charlotte)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</row>
    <row r="400">
      <c r="A400" s="21" t="b">
        <v>0</v>
      </c>
      <c r="B400" s="31" t="s">
        <v>669</v>
      </c>
      <c r="C400" s="21" t="str">
        <f>vlookup(B400,Vert_Mapper!$A$2:$C$567,2,0)</f>
        <v>Healthcare</v>
      </c>
      <c r="D400" s="21" t="str">
        <f>vlookup(B400,Vert_Mapper!$A$2:$C$567,3,0)</f>
        <v>Healthcare Services</v>
      </c>
      <c r="E400" s="21" t="s">
        <v>26</v>
      </c>
      <c r="F400" s="21" t="s">
        <v>18</v>
      </c>
      <c r="G400" s="21" t="str">
        <f t="shared" si="1"/>
        <v>GROWTH PHASE</v>
      </c>
      <c r="H400" s="21" t="s">
        <v>670</v>
      </c>
      <c r="I400" s="24">
        <f>IFERROR(__xludf.DUMMYFUNCTION("ROUND(
  MAX(
    MIN(
      (
        (VALUE(INDEX(SPLIT(K400,""-""),1)) + VALUE(INDEX(SPLIT(K400,""-""),2))) / 2
      ) *
      IFS(
        L400&gt;0.4, 1.6,
        L400&gt;0.1, 1.3,
        L400&gt;=-0.05, 1,
        L400&gt;=-0.2, 0.85,
        TRUE, 0.7
     "&amp;" ),
      VALUE(INDEX(SPLIT(K400,""-""),2))
    ),
    VALUE(INDEX(SPLIT(K400,""-""),1))
  )
)"),976.0)</f>
        <v>976</v>
      </c>
      <c r="J400" s="25">
        <f>I400*(VLOOKUP(C400,'Rev_Mapping Table'!$A$1:$C$12,3,0))</f>
        <v>542656000</v>
      </c>
      <c r="K400" s="24" t="s">
        <v>54</v>
      </c>
      <c r="L400" s="26">
        <v>0.13</v>
      </c>
      <c r="M400" s="27" t="str">
        <f>VLOOKUP(B400,Master_Mapper!$A$2:$C$628,3,0)</f>
        <v>Carousel Capital</v>
      </c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</row>
    <row r="401">
      <c r="A401" s="13" t="b">
        <v>0</v>
      </c>
      <c r="B401" s="14" t="s">
        <v>671</v>
      </c>
      <c r="C401" s="13" t="str">
        <f>vlookup(B401,Vert_Mapper!$A$2:$C$567,2,0)</f>
        <v>Consumer Discretionary</v>
      </c>
      <c r="D401" s="13" t="str">
        <f>vlookup(B401,Vert_Mapper!$A$2:$C$567,3,0)</f>
        <v>Consumer Products</v>
      </c>
      <c r="E401" s="13" t="s">
        <v>26</v>
      </c>
      <c r="F401" s="13" t="s">
        <v>18</v>
      </c>
      <c r="G401" s="13" t="str">
        <f t="shared" si="1"/>
        <v>FLAT TO NEUTRAL</v>
      </c>
      <c r="H401" s="13" t="s">
        <v>433</v>
      </c>
      <c r="I401" s="16">
        <f>IFERROR(__xludf.DUMMYFUNCTION("ROUND(
  MAX(
    MIN(
      (
        (VALUE(INDEX(SPLIT(K401,""-""),1)) + VALUE(INDEX(SPLIT(K401,""-""),2))) / 2
      ) *
      IFS(
        L401&gt;0.4, 1.6,
        L401&gt;0.1, 1.3,
        L401&gt;=-0.05, 1,
        L401&gt;=-0.2, 0.85,
        TRUE, 0.7
     "&amp;" ),
      VALUE(INDEX(SPLIT(K401,""-""),2))
    ),
    VALUE(INDEX(SPLIT(K401,""-""),1))
  )
)"),31.0)</f>
        <v>31</v>
      </c>
      <c r="J401" s="17">
        <f>I401*(VLOOKUP(C401,'Rev_Mapping Table'!$A$1:$C$12,3,0))</f>
        <v>15872000</v>
      </c>
      <c r="K401" s="16" t="s">
        <v>25</v>
      </c>
      <c r="L401" s="18">
        <v>0.0</v>
      </c>
      <c r="M401" s="19" t="str">
        <f>VLOOKUP(B401,Master_Mapper!$A$2:$C$628,3,0)</f>
        <v>VentureSouth</v>
      </c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</row>
    <row r="402">
      <c r="A402" s="21" t="b">
        <v>0</v>
      </c>
      <c r="B402" s="31" t="s">
        <v>672</v>
      </c>
      <c r="C402" s="21" t="str">
        <f>vlookup(B402,Vert_Mapper!$A$2:$C$567,2,0)</f>
        <v>Information Technology</v>
      </c>
      <c r="D402" s="21" t="str">
        <f>vlookup(B402,Vert_Mapper!$A$2:$C$567,3,0)</f>
        <v>Software &amp; SaaS</v>
      </c>
      <c r="E402" s="21" t="s">
        <v>26</v>
      </c>
      <c r="F402" s="21" t="s">
        <v>18</v>
      </c>
      <c r="G402" s="21" t="str">
        <f t="shared" si="1"/>
        <v>ACCELERATED GROWTH</v>
      </c>
      <c r="H402" s="21" t="s">
        <v>24</v>
      </c>
      <c r="I402" s="24">
        <f>IFERROR(__xludf.DUMMYFUNCTION("ROUND(
  MAX(
    MIN(
      (
        (VALUE(INDEX(SPLIT(K402,""-""),1)) + VALUE(INDEX(SPLIT(K402,""-""),2))) / 2
      ) *
      IFS(
        L402&gt;0.4, 1.6,
        L402&gt;0.1, 1.3,
        L402&gt;=-0.05, 1,
        L402&gt;=-0.2, 0.85,
        TRUE, 0.7
     "&amp;" ),
      VALUE(INDEX(SPLIT(K402,""-""),2))
    ),
    VALUE(INDEX(SPLIT(K402,""-""),1))
  )
)"),200.0)</f>
        <v>200</v>
      </c>
      <c r="J402" s="25">
        <f>I402*(VLOOKUP(C402,'Rev_Mapping Table'!$A$1:$C$12,3,0))</f>
        <v>112800000</v>
      </c>
      <c r="K402" s="24" t="s">
        <v>32</v>
      </c>
      <c r="L402" s="26">
        <v>0.59</v>
      </c>
      <c r="M402" s="27" t="str">
        <f>VLOOKUP(B402,Master_Mapper!$A$2:$C$628,3,0)</f>
        <v>Cerity Partners</v>
      </c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</row>
    <row r="403">
      <c r="A403" s="13" t="b">
        <v>0</v>
      </c>
      <c r="B403" s="14" t="s">
        <v>673</v>
      </c>
      <c r="C403" s="13" t="str">
        <f>vlookup(B403,Vert_Mapper!$A$2:$C$567,2,0)</f>
        <v>Consumer Discretionary</v>
      </c>
      <c r="D403" s="13" t="str">
        <f>vlookup(B403,Vert_Mapper!$A$2:$C$567,3,0)</f>
        <v>Restaurants &amp; Food Services</v>
      </c>
      <c r="E403" s="13" t="s">
        <v>26</v>
      </c>
      <c r="F403" s="13" t="s">
        <v>18</v>
      </c>
      <c r="G403" s="13" t="str">
        <f t="shared" si="1"/>
        <v>GROWTH PHASE</v>
      </c>
      <c r="H403" s="13" t="s">
        <v>674</v>
      </c>
      <c r="I403" s="16" t="str">
        <f>IFERROR(__xludf.DUMMYFUNCTION("ROUND(
  MAX(
    MIN(
      (
        (VALUE(INDEX(SPLIT(K403,""-""),1)) + VALUE(INDEX(SPLIT(K403,""-""),2))) / 2
      ) *
      IFS(
        L403&gt;0.4, 1.6,
        L403&gt;0.1, 1.3,
        L403&gt;=-0.05, 1,
        L403&gt;=-0.2, 0.85,
        TRUE, 0.7
     "&amp;" ),
      VALUE(INDEX(SPLIT(K403,""-""),2))
    ),
    VALUE(INDEX(SPLIT(K403,""-""),1))
  )
)"),"#VALUE!")</f>
        <v>#VALUE!</v>
      </c>
      <c r="J403" s="17" t="str">
        <f>I403*(VLOOKUP(C403,'Rev_Mapping Table'!$A$1:$C$12,3,0))</f>
        <v>#VALUE!</v>
      </c>
      <c r="K403" s="16" t="s">
        <v>450</v>
      </c>
      <c r="L403" s="18">
        <v>0.1</v>
      </c>
      <c r="M403" s="19" t="str">
        <f>VLOOKUP(B403,Master_Mapper!$A$2:$C$628,3,0)</f>
        <v>Halifax Group</v>
      </c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</row>
    <row r="404">
      <c r="A404" s="21" t="b">
        <v>0</v>
      </c>
      <c r="B404" s="31" t="s">
        <v>675</v>
      </c>
      <c r="C404" s="21" t="str">
        <f>vlookup(B404,Vert_Mapper!$A$2:$C$567,2,0)</f>
        <v>Healthcare</v>
      </c>
      <c r="D404" s="21" t="str">
        <f>vlookup(B404,Vert_Mapper!$A$2:$C$567,3,0)</f>
        <v>Biotechnology &amp; Pharmaceuticals</v>
      </c>
      <c r="E404" s="21" t="s">
        <v>85</v>
      </c>
      <c r="F404" s="21" t="s">
        <v>86</v>
      </c>
      <c r="G404" s="21" t="str">
        <f t="shared" si="1"/>
        <v>HYPERGROWTH</v>
      </c>
      <c r="H404" s="21" t="s">
        <v>212</v>
      </c>
      <c r="I404" s="24">
        <f>IFERROR(__xludf.DUMMYFUNCTION("ROUND(
  MAX(
    MIN(
      (
        (VALUE(INDEX(SPLIT(K404,""-""),1)) + VALUE(INDEX(SPLIT(K404,""-""),2))) / 2
      ) *
      IFS(
        L404&gt;0.4, 1.6,
        L404&gt;0.1, 1.3,
        L404&gt;=-0.05, 1,
        L404&gt;=-0.2, 0.85,
        TRUE, 0.7
     "&amp;" ),
      VALUE(INDEX(SPLIT(K404,""-""),2))
    ),
    VALUE(INDEX(SPLIT(K404,""-""),1))
  )
)"),10.0)</f>
        <v>10</v>
      </c>
      <c r="J404" s="25">
        <f>I404*(VLOOKUP(C404,'Rev_Mapping Table'!$A$1:$C$12,3,0))</f>
        <v>5560000</v>
      </c>
      <c r="K404" s="32">
        <v>45698.0</v>
      </c>
      <c r="L404" s="26">
        <v>1.5</v>
      </c>
      <c r="M404" s="27" t="str">
        <f>VLOOKUP(B404,Master_Mapper!$A$2:$C$628,3,0)</f>
        <v>Eshelman Ventures, LLC</v>
      </c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</row>
    <row r="405">
      <c r="A405" s="13" t="b">
        <v>0</v>
      </c>
      <c r="B405" s="14" t="s">
        <v>676</v>
      </c>
      <c r="C405" s="13" t="str">
        <f>vlookup(B405,Vert_Mapper!$A$2:$C$567,2,0)</f>
        <v>Information Technology</v>
      </c>
      <c r="D405" s="13" t="str">
        <f>vlookup(B405,Vert_Mapper!$A$2:$C$567,3,0)</f>
        <v>Software &amp; SaaS</v>
      </c>
      <c r="E405" s="13" t="s">
        <v>26</v>
      </c>
      <c r="F405" s="13" t="s">
        <v>18</v>
      </c>
      <c r="G405" s="13" t="str">
        <f t="shared" si="1"/>
        <v>DECLINING</v>
      </c>
      <c r="H405" s="13" t="s">
        <v>614</v>
      </c>
      <c r="I405" s="16">
        <f>IFERROR(__xludf.DUMMYFUNCTION("ROUND(
  MAX(
    MIN(
      (
        (VALUE(INDEX(SPLIT(K405,""-""),1)) + VALUE(INDEX(SPLIT(K405,""-""),2))) / 2
      ) *
      IFS(
        L405&gt;0.4, 1.6,
        L405&gt;0.1, 1.3,
        L405&gt;=-0.05, 1,
        L405&gt;=-0.2, 0.85,
        TRUE, 0.7
     "&amp;" ),
      VALUE(INDEX(SPLIT(K405,""-""),2))
    ),
    VALUE(INDEX(SPLIT(K405,""-""),1))
  )
)"),126.0)</f>
        <v>126</v>
      </c>
      <c r="J405" s="17">
        <f>I405*(VLOOKUP(C405,'Rev_Mapping Table'!$A$1:$C$12,3,0))</f>
        <v>71064000</v>
      </c>
      <c r="K405" s="16" t="s">
        <v>32</v>
      </c>
      <c r="L405" s="18">
        <v>-0.04</v>
      </c>
      <c r="M405" s="19" t="str">
        <f>VLOOKUP(B405,Master_Mapper!$A$2:$C$628,3,0)</f>
        <v>Harbor Island Equity Partners</v>
      </c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</row>
    <row r="406">
      <c r="A406" s="21" t="b">
        <v>0</v>
      </c>
      <c r="B406" s="31" t="s">
        <v>677</v>
      </c>
      <c r="C406" s="21" t="str">
        <f>vlookup(B406,Vert_Mapper!$A$2:$C$567,2,0)</f>
        <v>Information Technology</v>
      </c>
      <c r="D406" s="21" t="str">
        <f>vlookup(B406,Vert_Mapper!$A$2:$C$567,3,0)</f>
        <v>Software &amp; SaaS</v>
      </c>
      <c r="E406" s="21" t="s">
        <v>26</v>
      </c>
      <c r="F406" s="21" t="s">
        <v>18</v>
      </c>
      <c r="G406" s="21" t="str">
        <f t="shared" si="1"/>
        <v>FLAT TO NEUTRAL</v>
      </c>
      <c r="H406" s="21" t="s">
        <v>473</v>
      </c>
      <c r="I406" s="24">
        <f>IFERROR(__xludf.DUMMYFUNCTION("ROUND(
  MAX(
    MIN(
      (
        (VALUE(INDEX(SPLIT(K406,""-""),1)) + VALUE(INDEX(SPLIT(K406,""-""),2))) / 2
      ) *
      IFS(
        L406&gt;0.4, 1.6,
        L406&gt;0.1, 1.3,
        L406&gt;=-0.05, 1,
        L406&gt;=-0.2, 0.85,
        TRUE, 0.7
     "&amp;" ),
      VALUE(INDEX(SPLIT(K406,""-""),2))
    ),
    VALUE(INDEX(SPLIT(K406,""-""),1))
  )
)"),126.0)</f>
        <v>126</v>
      </c>
      <c r="J406" s="25">
        <f>I406*(VLOOKUP(C406,'Rev_Mapping Table'!$A$1:$C$12,3,0))</f>
        <v>71064000</v>
      </c>
      <c r="K406" s="24" t="s">
        <v>32</v>
      </c>
      <c r="L406" s="26">
        <v>0.0</v>
      </c>
      <c r="M406" s="27" t="str">
        <f>VLOOKUP(B406,Master_Mapper!$A$2:$C$628,3,0)</f>
        <v>Pamlico Capital</v>
      </c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</row>
    <row r="407">
      <c r="A407" s="13" t="b">
        <v>0</v>
      </c>
      <c r="B407" s="14" t="s">
        <v>678</v>
      </c>
      <c r="C407" s="13" t="str">
        <f>vlookup(B407,Vert_Mapper!$A$2:$C$567,2,0)</f>
        <v>Healthcare</v>
      </c>
      <c r="D407" s="13" t="str">
        <f>vlookup(B407,Vert_Mapper!$A$2:$C$567,3,0)</f>
        <v>Healthcare Technology &amp; Analytics</v>
      </c>
      <c r="E407" s="13" t="s">
        <v>26</v>
      </c>
      <c r="F407" s="13" t="s">
        <v>18</v>
      </c>
      <c r="G407" s="13" t="str">
        <f t="shared" si="1"/>
        <v>GROWTH PHASE</v>
      </c>
      <c r="H407" s="13" t="s">
        <v>565</v>
      </c>
      <c r="I407" s="16">
        <f>IFERROR(__xludf.DUMMYFUNCTION("ROUND(
  MAX(
    MIN(
      (
        (VALUE(INDEX(SPLIT(K407,""-""),1)) + VALUE(INDEX(SPLIT(K407,""-""),2))) / 2
      ) *
      IFS(
        L407&gt;0.4, 1.6,
        L407&gt;0.1, 1.3,
        L407&gt;=-0.05, 1,
        L407&gt;=-0.2, 0.85,
        TRUE, 0.7
     "&amp;" ),
      VALUE(INDEX(SPLIT(K407,""-""),2))
    ),
    VALUE(INDEX(SPLIT(K407,""-""),1))
  )
)"),163.0)</f>
        <v>163</v>
      </c>
      <c r="J407" s="17">
        <f>I407*(VLOOKUP(C407,'Rev_Mapping Table'!$A$1:$C$12,3,0))</f>
        <v>90628000</v>
      </c>
      <c r="K407" s="16" t="s">
        <v>32</v>
      </c>
      <c r="L407" s="18">
        <v>0.17</v>
      </c>
      <c r="M407" s="19" t="str">
        <f>VLOOKUP(B407,Master_Mapper!$A$2:$C$628,3,0)</f>
        <v>Frontier Growth</v>
      </c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</row>
    <row r="408">
      <c r="A408" s="21" t="b">
        <v>0</v>
      </c>
      <c r="B408" s="31" t="s">
        <v>679</v>
      </c>
      <c r="C408" s="21" t="str">
        <f>vlookup(B408,Vert_Mapper!$A$2:$C$567,2,0)</f>
        <v>Consumer Discretionary</v>
      </c>
      <c r="D408" s="21" t="str">
        <f>vlookup(B408,Vert_Mapper!$A$2:$C$567,3,0)</f>
        <v>Consumer Products</v>
      </c>
      <c r="E408" s="21" t="s">
        <v>26</v>
      </c>
      <c r="F408" s="21" t="s">
        <v>18</v>
      </c>
      <c r="G408" s="21" t="str">
        <f t="shared" si="1"/>
        <v>HYPERGROWTH</v>
      </c>
      <c r="H408" s="21" t="s">
        <v>131</v>
      </c>
      <c r="I408" s="24" t="str">
        <f>IFERROR(__xludf.DUMMYFUNCTION("ROUND(
  MAX(
    MIN(
      (
        (VALUE(INDEX(SPLIT(K408,""-""),1)) + VALUE(INDEX(SPLIT(K408,""-""),2))) / 2
      ) *
      IFS(
        L408&gt;0.4, 1.6,
        L408&gt;0.1, 1.3,
        L408&gt;=-0.05, 1,
        L408&gt;=-0.2, 0.85,
        TRUE, 0.7
     "&amp;" ),
      VALUE(INDEX(SPLIT(K408,""-""),2))
    ),
    VALUE(INDEX(SPLIT(K408,""-""),1))
  )
)"),"#VALUE!")</f>
        <v>#VALUE!</v>
      </c>
      <c r="J408" s="25" t="str">
        <f>I408*(VLOOKUP(C408,'Rev_Mapping Table'!$A$1:$C$12,3,0))</f>
        <v>#VALUE!</v>
      </c>
      <c r="K408" s="35" t="s">
        <v>131</v>
      </c>
      <c r="L408" s="35" t="s">
        <v>131</v>
      </c>
      <c r="M408" s="27" t="str">
        <f>VLOOKUP(B408,Master_Mapper!$A$2:$C$628,3,0)</f>
        <v>Hargett Hunter</v>
      </c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</row>
    <row r="409">
      <c r="A409" s="13" t="b">
        <v>0</v>
      </c>
      <c r="B409" s="14" t="s">
        <v>680</v>
      </c>
      <c r="C409" s="13" t="str">
        <f>vlookup(B409,Vert_Mapper!$A$2:$C$567,2,0)</f>
        <v>Healthcare</v>
      </c>
      <c r="D409" s="13" t="str">
        <f>vlookup(B409,Vert_Mapper!$A$2:$C$567,3,0)</f>
        <v>Biotechnology &amp; Pharmaceuticals</v>
      </c>
      <c r="E409" s="13" t="s">
        <v>26</v>
      </c>
      <c r="F409" s="13" t="s">
        <v>18</v>
      </c>
      <c r="G409" s="13" t="str">
        <f t="shared" si="1"/>
        <v>GROWTH PHASE</v>
      </c>
      <c r="H409" s="13" t="s">
        <v>83</v>
      </c>
      <c r="I409" s="16" t="str">
        <f>IFERROR(__xludf.DUMMYFUNCTION("ROUND(
  MAX(
    MIN(
      (
        (VALUE(INDEX(SPLIT(K409,""-""),1)) + VALUE(INDEX(SPLIT(K409,""-""),2))) / 2
      ) *
      IFS(
        L409&gt;0.4, 1.6,
        L409&gt;0.1, 1.3,
        L409&gt;=-0.05, 1,
        L409&gt;=-0.2, 0.85,
        TRUE, 0.7
     "&amp;" ),
      VALUE(INDEX(SPLIT(K409,""-""),2))
    ),
    VALUE(INDEX(SPLIT(K409,""-""),1))
  )
)"),"#VALUE!")</f>
        <v>#VALUE!</v>
      </c>
      <c r="J409" s="17" t="str">
        <f>I409*(VLOOKUP(C409,'Rev_Mapping Table'!$A$1:$C$12,3,0))</f>
        <v>#VALUE!</v>
      </c>
      <c r="K409" s="16" t="s">
        <v>450</v>
      </c>
      <c r="L409" s="18">
        <v>0.06</v>
      </c>
      <c r="M409" s="19" t="str">
        <f>VLOOKUP(B409,Master_Mapper!$A$2:$C$628,3,0)</f>
        <v>NovaQuest Capital Mgmt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</row>
    <row r="410">
      <c r="A410" s="21" t="b">
        <v>0</v>
      </c>
      <c r="B410" s="31" t="s">
        <v>681</v>
      </c>
      <c r="C410" s="21" t="str">
        <f>vlookup(B410,Vert_Mapper!$A$2:$C$567,2,0)</f>
        <v>Healthcare</v>
      </c>
      <c r="D410" s="21" t="str">
        <f>vlookup(B410,Vert_Mapper!$A$2:$C$567,3,0)</f>
        <v>Biotechnology &amp; Pharmaceuticals</v>
      </c>
      <c r="E410" s="21" t="s">
        <v>85</v>
      </c>
      <c r="F410" s="21" t="s">
        <v>86</v>
      </c>
      <c r="G410" s="21" t="str">
        <f t="shared" si="1"/>
        <v>DECLINING</v>
      </c>
      <c r="H410" s="21" t="s">
        <v>682</v>
      </c>
      <c r="I410" s="24">
        <f>IFERROR(__xludf.DUMMYFUNCTION("ROUND(
  MAX(
    MIN(
      (
        (VALUE(INDEX(SPLIT(K410,""-""),1)) + VALUE(INDEX(SPLIT(K410,""-""),2))) / 2
      ) *
      IFS(
        L410&gt;0.4, 1.6,
        L410&gt;0.1, 1.3,
        L410&gt;=-0.05, 1,
        L410&gt;=-0.2, 0.85,
        TRUE, 0.7
     "&amp;" ),
      VALUE(INDEX(SPLIT(K410,""-""),2))
    ),
    VALUE(INDEX(SPLIT(K410,""-""),1))
  )
)"),126.0)</f>
        <v>126</v>
      </c>
      <c r="J410" s="25">
        <f>I410*(VLOOKUP(C410,'Rev_Mapping Table'!$A$1:$C$12,3,0))</f>
        <v>70056000</v>
      </c>
      <c r="K410" s="24" t="s">
        <v>32</v>
      </c>
      <c r="L410" s="26">
        <v>-0.04</v>
      </c>
      <c r="M410" s="27" t="str">
        <f>VLOOKUP(B410,Master_Mapper!$A$2:$C$628,3,0)</f>
        <v>NovaQuest Capital Mgmt</v>
      </c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</row>
    <row r="411">
      <c r="A411" s="13" t="b">
        <v>1</v>
      </c>
      <c r="B411" s="14" t="s">
        <v>683</v>
      </c>
      <c r="C411" s="13" t="str">
        <f>vlookup(B411,Vert_Mapper!$A$2:$C$567,2,0)</f>
        <v>Healthcare</v>
      </c>
      <c r="D411" s="13" t="str">
        <f>vlookup(B411,Vert_Mapper!$A$2:$C$567,3,0)</f>
        <v>Biotechnology &amp; Pharmaceuticals</v>
      </c>
      <c r="E411" s="13" t="s">
        <v>26</v>
      </c>
      <c r="F411" s="13" t="s">
        <v>18</v>
      </c>
      <c r="G411" s="13" t="str">
        <f t="shared" si="1"/>
        <v>ACCELERATED GROWTH</v>
      </c>
      <c r="H411" s="13" t="s">
        <v>684</v>
      </c>
      <c r="I411" s="16">
        <f>IFERROR(__xludf.DUMMYFUNCTION("ROUND(
  MAX(
    MIN(
      (
        (VALUE(INDEX(SPLIT(K411,""-""),1)) + VALUE(INDEX(SPLIT(K411,""-""),2))) / 2
      ) *
      IFS(
        L411&gt;0.4, 1.6,
        L411&gt;0.1, 1.3,
        L411&gt;=-0.05, 1,
        L411&gt;=-0.2, 0.85,
        TRUE, 0.7
     "&amp;" ),
      VALUE(INDEX(SPLIT(K411,""-""),2))
    ),
    VALUE(INDEX(SPLIT(K411,""-""),1))
  )
)"),49.0)</f>
        <v>49</v>
      </c>
      <c r="J411" s="17">
        <f>I411*(VLOOKUP(C411,'Rev_Mapping Table'!$A$1:$C$12,3,0))</f>
        <v>27244000</v>
      </c>
      <c r="K411" s="16" t="s">
        <v>25</v>
      </c>
      <c r="L411" s="18">
        <v>0.43</v>
      </c>
      <c r="M411" s="19" t="str">
        <f>VLOOKUP(B411,Master_Mapper!$A$2:$C$628,3,0)</f>
        <v>VentureSouth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</row>
    <row r="412">
      <c r="A412" s="21" t="b">
        <v>0</v>
      </c>
      <c r="B412" s="31" t="s">
        <v>685</v>
      </c>
      <c r="C412" s="21" t="str">
        <f>vlookup(B412,Vert_Mapper!$A$2:$C$567,2,0)</f>
        <v>Healthcare</v>
      </c>
      <c r="D412" s="21" t="str">
        <f>vlookup(B412,Vert_Mapper!$A$2:$C$567,3,0)</f>
        <v>Biotechnology &amp; Pharmaceuticals</v>
      </c>
      <c r="E412" s="21" t="s">
        <v>26</v>
      </c>
      <c r="F412" s="21" t="s">
        <v>18</v>
      </c>
      <c r="G412" s="21" t="str">
        <f t="shared" si="1"/>
        <v>DECLINING</v>
      </c>
      <c r="H412" s="21" t="s">
        <v>319</v>
      </c>
      <c r="I412" s="24">
        <f>IFERROR(__xludf.DUMMYFUNCTION("ROUND(
  MAX(
    MIN(
      (
        (VALUE(INDEX(SPLIT(K412,""-""),1)) + VALUE(INDEX(SPLIT(K412,""-""),2))) / 2
      ) *
      IFS(
        L412&gt;0.4, 1.6,
        L412&gt;0.1, 1.3,
        L412&gt;=-0.05, 1,
        L412&gt;=-0.2, 0.85,
        TRUE, 0.7
     "&amp;" ),
      VALUE(INDEX(SPLIT(K412,""-""),2))
    ),
    VALUE(INDEX(SPLIT(K412,""-""),1))
  )
)"),26.0)</f>
        <v>26</v>
      </c>
      <c r="J412" s="25">
        <f>I412*(VLOOKUP(C412,'Rev_Mapping Table'!$A$1:$C$12,3,0))</f>
        <v>14456000</v>
      </c>
      <c r="K412" s="24" t="s">
        <v>25</v>
      </c>
      <c r="L412" s="26">
        <v>-0.07</v>
      </c>
      <c r="M412" s="27" t="str">
        <f>VLOOKUP(B412,Master_Mapper!$A$2:$C$628,3,0)</f>
        <v>Eshelman Ventures, LLC</v>
      </c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</row>
    <row r="413">
      <c r="A413" s="13" t="b">
        <v>0</v>
      </c>
      <c r="B413" s="14" t="s">
        <v>686</v>
      </c>
      <c r="C413" s="13" t="str">
        <f>vlookup(B413,Vert_Mapper!$A$2:$C$567,2,0)</f>
        <v>Materials</v>
      </c>
      <c r="D413" s="13" t="str">
        <f>vlookup(B413,Vert_Mapper!$A$2:$C$567,3,0)</f>
        <v>Advanced Materials</v>
      </c>
      <c r="E413" s="13" t="s">
        <v>26</v>
      </c>
      <c r="F413" s="13" t="s">
        <v>18</v>
      </c>
      <c r="G413" s="13" t="str">
        <f t="shared" si="1"/>
        <v>DECLINING</v>
      </c>
      <c r="H413" s="13" t="s">
        <v>66</v>
      </c>
      <c r="I413" s="16">
        <f>IFERROR(__xludf.DUMMYFUNCTION("ROUND(
  MAX(
    MIN(
      (
        (VALUE(INDEX(SPLIT(K413,""-""),1)) + VALUE(INDEX(SPLIT(K413,""-""),2))) / 2
      ) *
      IFS(
        L413&gt;0.4, 1.6,
        L413&gt;0.1, 1.3,
        L413&gt;=-0.05, 1,
        L413&gt;=-0.2, 0.85,
        TRUE, 0.7
     "&amp;" ),
      VALUE(INDEX(SPLIT(K413,""-""),2))
    ),
    VALUE(INDEX(SPLIT(K413,""-""),1))
  )
)"),107.0)</f>
        <v>107</v>
      </c>
      <c r="J413" s="17">
        <f>I413*(VLOOKUP(C413,'Rev_Mapping Table'!$A$1:$C$12,3,0))</f>
        <v>52751000</v>
      </c>
      <c r="K413" s="16" t="s">
        <v>32</v>
      </c>
      <c r="L413" s="18">
        <v>-0.07</v>
      </c>
      <c r="M413" s="19" t="str">
        <f>VLOOKUP(B413,Master_Mapper!$A$2:$C$628,3,0)</f>
        <v>Tidewater Equity Partners</v>
      </c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</row>
    <row r="414">
      <c r="A414" s="21" t="b">
        <v>0</v>
      </c>
      <c r="B414" s="31" t="s">
        <v>687</v>
      </c>
      <c r="C414" s="21" t="str">
        <f>vlookup(B414,Vert_Mapper!$A$2:$C$567,2,0)</f>
        <v>Consumer Staples</v>
      </c>
      <c r="D414" s="21" t="str">
        <f>vlookup(B414,Vert_Mapper!$A$2:$C$567,3,0)</f>
        <v>Food &amp; Beverage Manufacturing</v>
      </c>
      <c r="E414" s="21" t="s">
        <v>26</v>
      </c>
      <c r="F414" s="21" t="s">
        <v>18</v>
      </c>
      <c r="G414" s="21" t="str">
        <f t="shared" si="1"/>
        <v>FLAT TO NEUTRAL</v>
      </c>
      <c r="H414" s="21" t="s">
        <v>259</v>
      </c>
      <c r="I414" s="24">
        <f>IFERROR(__xludf.DUMMYFUNCTION("ROUND(
  MAX(
    MIN(
      (
        (VALUE(INDEX(SPLIT(K414,""-""),1)) + VALUE(INDEX(SPLIT(K414,""-""),2))) / 2
      ) *
      IFS(
        L414&gt;0.4, 1.6,
        L414&gt;0.1, 1.3,
        L414&gt;=-0.05, 1,
        L414&gt;=-0.2, 0.85,
        TRUE, 0.7
     "&amp;" ),
      VALUE(INDEX(SPLIT(K414,""-""),2))
    ),
    VALUE(INDEX(SPLIT(K414,""-""),1))
  )
)"),31.0)</f>
        <v>31</v>
      </c>
      <c r="J414" s="25">
        <f>I414*(VLOOKUP(C414,'Rev_Mapping Table'!$A$1:$C$12,3,0))</f>
        <v>17236000</v>
      </c>
      <c r="K414" s="24" t="s">
        <v>25</v>
      </c>
      <c r="L414" s="26">
        <v>0.0</v>
      </c>
      <c r="M414" s="27" t="str">
        <f>VLOOKUP(B414,Master_Mapper!$A$2:$C$628,3,0)</f>
        <v>Azalea Capital</v>
      </c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</row>
    <row r="415">
      <c r="A415" s="13" t="b">
        <v>0</v>
      </c>
      <c r="B415" s="14" t="s">
        <v>688</v>
      </c>
      <c r="C415" s="13" t="str">
        <f>vlookup(B415,Vert_Mapper!$A$2:$C$567,2,0)</f>
        <v>Consumer Staples</v>
      </c>
      <c r="D415" s="13" t="str">
        <f>vlookup(B415,Vert_Mapper!$A$2:$C$567,3,0)</f>
        <v>Food &amp; Beverage Manufacturing</v>
      </c>
      <c r="E415" s="13" t="s">
        <v>26</v>
      </c>
      <c r="F415" s="13" t="s">
        <v>18</v>
      </c>
      <c r="G415" s="13" t="str">
        <f t="shared" si="1"/>
        <v>HYPERGROWTH</v>
      </c>
      <c r="H415" s="13" t="s">
        <v>131</v>
      </c>
      <c r="I415" s="16" t="str">
        <f>IFERROR(__xludf.DUMMYFUNCTION("ROUND(
  MAX(
    MIN(
      (
        (VALUE(INDEX(SPLIT(K415,""-""),1)) + VALUE(INDEX(SPLIT(K415,""-""),2))) / 2
      ) *
      IFS(
        L415&gt;0.4, 1.6,
        L415&gt;0.1, 1.3,
        L415&gt;=-0.05, 1,
        L415&gt;=-0.2, 0.85,
        TRUE, 0.7
     "&amp;" ),
      VALUE(INDEX(SPLIT(K415,""-""),2))
    ),
    VALUE(INDEX(SPLIT(K415,""-""),1))
  )
)"),"#VALUE!")</f>
        <v>#VALUE!</v>
      </c>
      <c r="J415" s="17" t="str">
        <f>I415*(VLOOKUP(C415,'Rev_Mapping Table'!$A$1:$C$12,3,0))</f>
        <v>#VALUE!</v>
      </c>
      <c r="K415" s="33" t="s">
        <v>131</v>
      </c>
      <c r="L415" s="33" t="s">
        <v>131</v>
      </c>
      <c r="M415" s="19" t="str">
        <f>VLOOKUP(B415,Master_Mapper!$A$2:$C$628,3,0)</f>
        <v>WJ Partners</v>
      </c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</row>
    <row r="416">
      <c r="A416" s="21" t="b">
        <v>0</v>
      </c>
      <c r="B416" s="31" t="s">
        <v>689</v>
      </c>
      <c r="C416" s="21" t="str">
        <f>vlookup(B416,Vert_Mapper!$A$2:$C$567,2,0)</f>
        <v>Information Technology</v>
      </c>
      <c r="D416" s="21" t="str">
        <f>vlookup(B416,Vert_Mapper!$A$2:$C$567,3,0)</f>
        <v>Security &amp; Cybersecurity</v>
      </c>
      <c r="E416" s="21" t="s">
        <v>26</v>
      </c>
      <c r="F416" s="21" t="s">
        <v>18</v>
      </c>
      <c r="G416" s="21" t="str">
        <f t="shared" si="1"/>
        <v>GROWTH PHASE</v>
      </c>
      <c r="H416" s="21" t="s">
        <v>100</v>
      </c>
      <c r="I416" s="24">
        <f>IFERROR(__xludf.DUMMYFUNCTION("ROUND(
  MAX(
    MIN(
      (
        (VALUE(INDEX(SPLIT(K416,""-""),1)) + VALUE(INDEX(SPLIT(K416,""-""),2))) / 2
      ) *
      IFS(
        L416&gt;0.4, 1.6,
        L416&gt;0.1, 1.3,
        L416&gt;=-0.05, 1,
        L416&gt;=-0.2, 0.85,
        TRUE, 0.7
     "&amp;" ),
      VALUE(INDEX(SPLIT(K416,""-""),2))
    ),
    VALUE(INDEX(SPLIT(K416,""-""),1))
  )
)"),351.0)</f>
        <v>351</v>
      </c>
      <c r="J416" s="25">
        <f>I416*(VLOOKUP(C416,'Rev_Mapping Table'!$A$1:$C$12,3,0))</f>
        <v>197964000</v>
      </c>
      <c r="K416" s="24" t="s">
        <v>20</v>
      </c>
      <c r="L416" s="26">
        <v>0.1</v>
      </c>
      <c r="M416" s="27" t="str">
        <f>VLOOKUP(B416,Master_Mapper!$A$2:$C$628,3,0)</f>
        <v>Cerity Partners</v>
      </c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</row>
    <row r="417">
      <c r="A417" s="13" t="b">
        <v>1</v>
      </c>
      <c r="B417" s="14" t="s">
        <v>690</v>
      </c>
      <c r="C417" s="13" t="str">
        <f>vlookup(B417,Vert_Mapper!$A$2:$C$567,2,0)</f>
        <v>Materials</v>
      </c>
      <c r="D417" s="13" t="str">
        <f>vlookup(B417,Vert_Mapper!$A$2:$C$567,3,0)</f>
        <v>Building Materials &amp; Construction</v>
      </c>
      <c r="E417" s="13" t="s">
        <v>26</v>
      </c>
      <c r="F417" s="13" t="s">
        <v>18</v>
      </c>
      <c r="G417" s="13" t="str">
        <f t="shared" si="1"/>
        <v>GROWTH PHASE</v>
      </c>
      <c r="H417" s="13" t="s">
        <v>691</v>
      </c>
      <c r="I417" s="16">
        <f>IFERROR(__xludf.DUMMYFUNCTION("ROUND(
  MAX(
    MIN(
      (
        (VALUE(INDEX(SPLIT(K417,""-""),1)) + VALUE(INDEX(SPLIT(K417,""-""),2))) / 2
      ) *
      IFS(
        L417&gt;0.4, 1.6,
        L417&gt;0.1, 1.3,
        L417&gt;=-0.05, 1,
        L417&gt;=-0.2, 0.85,
        TRUE, 0.7
     "&amp;" ),
      VALUE(INDEX(SPLIT(K417,""-""),2))
    ),
    VALUE(INDEX(SPLIT(K417,""-""),1))
  )
)"),456.0)</f>
        <v>456</v>
      </c>
      <c r="J417" s="17">
        <f>I417*(VLOOKUP(C417,'Rev_Mapping Table'!$A$1:$C$12,3,0))</f>
        <v>224808000</v>
      </c>
      <c r="K417" s="16" t="s">
        <v>20</v>
      </c>
      <c r="L417" s="18">
        <v>0.13</v>
      </c>
      <c r="M417" s="19" t="str">
        <f>VLOOKUP(B417,Master_Mapper!$A$2:$C$628,3,0)</f>
        <v>VentureSouth</v>
      </c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</row>
    <row r="418">
      <c r="A418" s="21" t="b">
        <v>0</v>
      </c>
      <c r="B418" s="31" t="s">
        <v>692</v>
      </c>
      <c r="C418" s="21" t="str">
        <f>vlookup(B418,Vert_Mapper!$A$2:$C$567,2,0)</f>
        <v>Consumer Staples</v>
      </c>
      <c r="D418" s="21" t="str">
        <f>vlookup(B418,Vert_Mapper!$A$2:$C$567,3,0)</f>
        <v>Food &amp; Beverage Manufacturing</v>
      </c>
      <c r="E418" s="21" t="s">
        <v>26</v>
      </c>
      <c r="F418" s="21" t="s">
        <v>18</v>
      </c>
      <c r="G418" s="21" t="str">
        <f t="shared" si="1"/>
        <v>DECLINING</v>
      </c>
      <c r="H418" s="21" t="s">
        <v>433</v>
      </c>
      <c r="I418" s="24">
        <f>IFERROR(__xludf.DUMMYFUNCTION("ROUND(
  MAX(
    MIN(
      (
        (VALUE(INDEX(SPLIT(K418,""-""),1)) + VALUE(INDEX(SPLIT(K418,""-""),2))) / 2
      ) *
      IFS(
        L418&gt;0.4, 1.6,
        L418&gt;0.1, 1.3,
        L418&gt;=-0.05, 1,
        L418&gt;=-0.2, 0.85,
        TRUE, 0.7
     "&amp;" ),
      VALUE(INDEX(SPLIT(K418,""-""),2))
    ),
    VALUE(INDEX(SPLIT(K418,""-""),1))
  )
)"),107.0)</f>
        <v>107</v>
      </c>
      <c r="J418" s="25">
        <f>I418*(VLOOKUP(C418,'Rev_Mapping Table'!$A$1:$C$12,3,0))</f>
        <v>59492000</v>
      </c>
      <c r="K418" s="24" t="s">
        <v>32</v>
      </c>
      <c r="L418" s="26">
        <v>-0.09</v>
      </c>
      <c r="M418" s="27" t="str">
        <f>VLOOKUP(B418,Master_Mapper!$A$2:$C$628,3,0)</f>
        <v>Cerity Partners</v>
      </c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</row>
    <row r="419">
      <c r="A419" s="13" t="b">
        <v>0</v>
      </c>
      <c r="B419" s="14" t="s">
        <v>693</v>
      </c>
      <c r="C419" s="13" t="str">
        <f>vlookup(B419,Vert_Mapper!$A$2:$C$567,2,0)</f>
        <v>Materials</v>
      </c>
      <c r="D419" s="13" t="str">
        <f>vlookup(B419,Vert_Mapper!$A$2:$C$567,3,0)</f>
        <v>Mining &amp; Extraction Technology</v>
      </c>
      <c r="E419" s="13" t="s">
        <v>26</v>
      </c>
      <c r="F419" s="13" t="s">
        <v>18</v>
      </c>
      <c r="G419" s="13" t="str">
        <f t="shared" si="1"/>
        <v>GROWTH PHASE</v>
      </c>
      <c r="H419" s="13" t="s">
        <v>694</v>
      </c>
      <c r="I419" s="16">
        <f>IFERROR(__xludf.DUMMYFUNCTION("ROUND(
  MAX(
    MIN(
      (
        (VALUE(INDEX(SPLIT(K419,""-""),1)) + VALUE(INDEX(SPLIT(K419,""-""),2))) / 2
      ) *
      IFS(
        L419&gt;0.4, 1.6,
        L419&gt;0.1, 1.3,
        L419&gt;=-0.05, 1,
        L419&gt;=-0.2, 0.85,
        TRUE, 0.7
     "&amp;" ),
      VALUE(INDEX(SPLIT(K419,""-""),2))
    ),
    VALUE(INDEX(SPLIT(K419,""-""),1))
  )
)"),40.0)</f>
        <v>40</v>
      </c>
      <c r="J419" s="17">
        <f>I419*(VLOOKUP(C419,'Rev_Mapping Table'!$A$1:$C$12,3,0))</f>
        <v>19720000</v>
      </c>
      <c r="K419" s="16" t="s">
        <v>25</v>
      </c>
      <c r="L419" s="18">
        <v>0.14</v>
      </c>
      <c r="M419" s="19" t="str">
        <f>VLOOKUP(B419,Master_Mapper!$A$2:$C$628,3,0)</f>
        <v>Cerity Partners</v>
      </c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</row>
    <row r="420">
      <c r="A420" s="21" t="b">
        <v>0</v>
      </c>
      <c r="B420" s="31" t="s">
        <v>695</v>
      </c>
      <c r="C420" s="21" t="str">
        <f>vlookup(B420,Vert_Mapper!$A$2:$C$567,2,0)</f>
        <v>Consumer Discretionary</v>
      </c>
      <c r="D420" s="21" t="str">
        <f>vlookup(B420,Vert_Mapper!$A$2:$C$567,3,0)</f>
        <v>Consumer Products</v>
      </c>
      <c r="E420" s="21" t="s">
        <v>26</v>
      </c>
      <c r="F420" s="21" t="s">
        <v>18</v>
      </c>
      <c r="G420" s="21" t="str">
        <f t="shared" si="1"/>
        <v>DECLINING</v>
      </c>
      <c r="H420" s="21" t="s">
        <v>696</v>
      </c>
      <c r="I420" s="24">
        <f>IFERROR(__xludf.DUMMYFUNCTION("ROUND(
  MAX(
    MIN(
      (
        (VALUE(INDEX(SPLIT(K420,""-""),1)) + VALUE(INDEX(SPLIT(K420,""-""),2))) / 2
      ) *
      IFS(
        L420&gt;0.4, 1.6,
        L420&gt;0.1, 1.3,
        L420&gt;=-0.05, 1,
        L420&gt;=-0.2, 0.85,
        TRUE, 0.7
     "&amp;" ),
      VALUE(INDEX(SPLIT(K420,""-""),2))
    ),
    VALUE(INDEX(SPLIT(K420,""-""),1))
  )
)"),26.0)</f>
        <v>26</v>
      </c>
      <c r="J420" s="25">
        <f>I420*(VLOOKUP(C420,'Rev_Mapping Table'!$A$1:$C$12,3,0))</f>
        <v>13312000</v>
      </c>
      <c r="K420" s="24" t="s">
        <v>25</v>
      </c>
      <c r="L420" s="26">
        <v>-0.13</v>
      </c>
      <c r="M420" s="27" t="str">
        <f>VLOOKUP(B420,Master_Mapper!$A$2:$C$628,3,0)</f>
        <v>VentureSouth</v>
      </c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</row>
    <row r="421">
      <c r="A421" s="13" t="b">
        <v>0</v>
      </c>
      <c r="B421" s="14" t="s">
        <v>697</v>
      </c>
      <c r="C421" s="13" t="str">
        <f>vlookup(B421,Vert_Mapper!$A$2:$C$567,2,0)</f>
        <v>Information Technology</v>
      </c>
      <c r="D421" s="13" t="str">
        <f>vlookup(B421,Vert_Mapper!$A$2:$C$567,3,0)</f>
        <v>Software &amp; SaaS</v>
      </c>
      <c r="E421" s="13" t="s">
        <v>26</v>
      </c>
      <c r="F421" s="13" t="s">
        <v>18</v>
      </c>
      <c r="G421" s="13" t="str">
        <f t="shared" si="1"/>
        <v>DECLINING</v>
      </c>
      <c r="H421" s="13" t="s">
        <v>100</v>
      </c>
      <c r="I421" s="16">
        <f>IFERROR(__xludf.DUMMYFUNCTION("ROUND(
  MAX(
    MIN(
      (
        (VALUE(INDEX(SPLIT(K421,""-""),1)) + VALUE(INDEX(SPLIT(K421,""-""),2))) / 2
      ) *
      IFS(
        L421&gt;0.4, 1.6,
        L421&gt;0.1, 1.3,
        L421&gt;=-0.05, 1,
        L421&gt;=-0.2, 0.85,
        TRUE, 0.7
     "&amp;" ),
      VALUE(INDEX(SPLIT(K421,""-""),2))
    ),
    VALUE(INDEX(SPLIT(K421,""-""),1))
  )
)"),107.0)</f>
        <v>107</v>
      </c>
      <c r="J421" s="17">
        <f>I421*(VLOOKUP(C421,'Rev_Mapping Table'!$A$1:$C$12,3,0))</f>
        <v>60348000</v>
      </c>
      <c r="K421" s="16" t="s">
        <v>32</v>
      </c>
      <c r="L421" s="18">
        <v>-0.16</v>
      </c>
      <c r="M421" s="19" t="str">
        <f>VLOOKUP(B421,Master_Mapper!$A$2:$C$628,3,0)</f>
        <v>VentureSouth</v>
      </c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</row>
    <row r="422">
      <c r="A422" s="21" t="b">
        <v>0</v>
      </c>
      <c r="B422" s="31" t="s">
        <v>698</v>
      </c>
      <c r="C422" s="21" t="str">
        <f>vlookup(B422,Vert_Mapper!$A$2:$C$567,2,0)</f>
        <v>Consumer Discretionary</v>
      </c>
      <c r="D422" s="21" t="str">
        <f>vlookup(B422,Vert_Mapper!$A$2:$C$567,3,0)</f>
        <v>Consumer Products</v>
      </c>
      <c r="E422" s="21" t="s">
        <v>26</v>
      </c>
      <c r="F422" s="21" t="s">
        <v>18</v>
      </c>
      <c r="G422" s="21" t="str">
        <f t="shared" si="1"/>
        <v>SEVERELY NEGATIVE</v>
      </c>
      <c r="H422" s="21" t="s">
        <v>424</v>
      </c>
      <c r="I422" s="24">
        <f>IFERROR(__xludf.DUMMYFUNCTION("ROUND(
  MAX(
    MIN(
      (
        (VALUE(INDEX(SPLIT(K422,""-""),1)) + VALUE(INDEX(SPLIT(K422,""-""),2))) / 2
      ) *
      IFS(
        L422&gt;0.4, 1.6,
        L422&gt;0.1, 1.3,
        L422&gt;=-0.05, 1,
        L422&gt;=-0.2, 0.85,
        TRUE, 0.7
     "&amp;" ),
      VALUE(INDEX(SPLIT(K422,""-""),2))
    ),
    VALUE(INDEX(SPLIT(K422,""-""),1))
  )
)"),4.0)</f>
        <v>4</v>
      </c>
      <c r="J422" s="25">
        <f>I422*(VLOOKUP(C422,'Rev_Mapping Table'!$A$1:$C$12,3,0))</f>
        <v>2048000</v>
      </c>
      <c r="K422" s="32">
        <v>45698.0</v>
      </c>
      <c r="L422" s="26">
        <v>-0.33</v>
      </c>
      <c r="M422" s="27" t="str">
        <f>VLOOKUP(B422,Master_Mapper!$A$2:$C$628,3,0)</f>
        <v>Monomoy Capital Partners</v>
      </c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</row>
    <row r="423">
      <c r="A423" s="13" t="b">
        <v>0</v>
      </c>
      <c r="B423" s="14" t="s">
        <v>699</v>
      </c>
      <c r="C423" s="13" t="str">
        <f>vlookup(B423,Vert_Mapper!$A$2:$C$567,2,0)</f>
        <v>Information Technology</v>
      </c>
      <c r="D423" s="13" t="str">
        <f>vlookup(B423,Vert_Mapper!$A$2:$C$567,3,0)</f>
        <v>Hardware &amp; Equipment</v>
      </c>
      <c r="E423" s="13" t="s">
        <v>26</v>
      </c>
      <c r="F423" s="13" t="s">
        <v>18</v>
      </c>
      <c r="G423" s="13" t="str">
        <f t="shared" si="1"/>
        <v>FLAT TO NEUTRAL</v>
      </c>
      <c r="H423" s="13" t="s">
        <v>473</v>
      </c>
      <c r="I423" s="16">
        <f>IFERROR(__xludf.DUMMYFUNCTION("ROUND(
  MAX(
    MIN(
      (
        (VALUE(INDEX(SPLIT(K423,""-""),1)) + VALUE(INDEX(SPLIT(K423,""-""),2))) / 2
      ) *
      IFS(
        L423&gt;0.4, 1.6,
        L423&gt;0.1, 1.3,
        L423&gt;=-0.05, 1,
        L423&gt;=-0.2, 0.85,
        TRUE, 0.7
     "&amp;" ),
      VALUE(INDEX(SPLIT(K423,""-""),2))
    ),
    VALUE(INDEX(SPLIT(K423,""-""),1))
  )
)"),6.0)</f>
        <v>6</v>
      </c>
      <c r="J423" s="17">
        <f>I423*(VLOOKUP(C423,'Rev_Mapping Table'!$A$1:$C$12,3,0))</f>
        <v>3384000</v>
      </c>
      <c r="K423" s="30">
        <v>45698.0</v>
      </c>
      <c r="L423" s="18">
        <v>0.0</v>
      </c>
      <c r="M423" s="19" t="str">
        <f>VLOOKUP(B423,Master_Mapper!$A$2:$C$628,3,0)</f>
        <v>Cerity Partners</v>
      </c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</row>
    <row r="424">
      <c r="A424" s="21" t="b">
        <v>0</v>
      </c>
      <c r="B424" s="31" t="s">
        <v>700</v>
      </c>
      <c r="C424" s="21" t="str">
        <f>vlookup(B424,Vert_Mapper!$A$2:$C$567,2,0)</f>
        <v>Industrials</v>
      </c>
      <c r="D424" s="21" t="str">
        <f>vlookup(B424,Vert_Mapper!$A$2:$C$567,3,0)</f>
        <v>Manufacturing &amp; Processing</v>
      </c>
      <c r="E424" s="21" t="s">
        <v>26</v>
      </c>
      <c r="F424" s="21" t="s">
        <v>18</v>
      </c>
      <c r="G424" s="21" t="str">
        <f t="shared" si="1"/>
        <v>FLAT TO NEUTRAL</v>
      </c>
      <c r="H424" s="21" t="s">
        <v>701</v>
      </c>
      <c r="I424" s="24">
        <f>IFERROR(__xludf.DUMMYFUNCTION("ROUND(
  MAX(
    MIN(
      (
        (VALUE(INDEX(SPLIT(K424,""-""),1)) + VALUE(INDEX(SPLIT(K424,""-""),2))) / 2
      ) *
      IFS(
        L424&gt;0.4, 1.6,
        L424&gt;0.1, 1.3,
        L424&gt;=-0.05, 1,
        L424&gt;=-0.2, 0.85,
        TRUE, 0.7
     "&amp;" ),
      VALUE(INDEX(SPLIT(K424,""-""),2))
    ),
    VALUE(INDEX(SPLIT(K424,""-""),1))
  )
)"),126.0)</f>
        <v>126</v>
      </c>
      <c r="J424" s="25">
        <f>I424*(VLOOKUP(C424,'Rev_Mapping Table'!$A$1:$C$12,3,0))</f>
        <v>62118000</v>
      </c>
      <c r="K424" s="24" t="s">
        <v>32</v>
      </c>
      <c r="L424" s="26">
        <v>0.0</v>
      </c>
      <c r="M424" s="27" t="str">
        <f>VLOOKUP(B424,Master_Mapper!$A$2:$C$628,3,0)</f>
        <v>NovaQuest Capital Mgmt</v>
      </c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</row>
    <row r="425">
      <c r="A425" s="13" t="b">
        <v>0</v>
      </c>
      <c r="B425" s="14" t="s">
        <v>702</v>
      </c>
      <c r="C425" s="13" t="str">
        <f>vlookup(B425,Vert_Mapper!$A$2:$C$567,2,0)</f>
        <v>Materials</v>
      </c>
      <c r="D425" s="13" t="str">
        <f>vlookup(B425,Vert_Mapper!$A$2:$C$567,3,0)</f>
        <v>Agriculture Technology</v>
      </c>
      <c r="E425" s="13" t="s">
        <v>65</v>
      </c>
      <c r="F425" s="13" t="s">
        <v>30</v>
      </c>
      <c r="G425" s="13" t="str">
        <f t="shared" si="1"/>
        <v>ACCELERATED GROWTH</v>
      </c>
      <c r="H425" s="13" t="s">
        <v>141</v>
      </c>
      <c r="I425" s="16">
        <f>IFERROR(__xludf.DUMMYFUNCTION("ROUND(
  MAX(
    MIN(
      (
        (VALUE(INDEX(SPLIT(K425,""-""),1)) + VALUE(INDEX(SPLIT(K425,""-""),2))) / 2
      ) *
      IFS(
        L425&gt;0.4, 1.6,
        L425&gt;0.1, 1.3,
        L425&gt;=-0.05, 1,
        L425&gt;=-0.2, 0.85,
        TRUE, 0.7
     "&amp;" ),
      VALUE(INDEX(SPLIT(K425,""-""),2))
    ),
    VALUE(INDEX(SPLIT(K425,""-""),1))
  )
)"),49.0)</f>
        <v>49</v>
      </c>
      <c r="J425" s="17">
        <f>I425*(VLOOKUP(C425,'Rev_Mapping Table'!$A$1:$C$12,3,0))</f>
        <v>24157000</v>
      </c>
      <c r="K425" s="16" t="s">
        <v>25</v>
      </c>
      <c r="L425" s="18">
        <v>0.52</v>
      </c>
      <c r="M425" s="19" t="str">
        <f>VLOOKUP(B425,Master_Mapper!$A$2:$C$628,3,0)</f>
        <v>Cerity Partners</v>
      </c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</row>
    <row r="426">
      <c r="A426" s="21" t="b">
        <v>0</v>
      </c>
      <c r="B426" s="31" t="s">
        <v>703</v>
      </c>
      <c r="C426" s="21" t="str">
        <f>vlookup(B426,Vert_Mapper!$A$2:$C$567,2,0)</f>
        <v>Industrials</v>
      </c>
      <c r="D426" s="21" t="str">
        <f>vlookup(B426,Vert_Mapper!$A$2:$C$567,3,0)</f>
        <v>Industrial Equipment &amp; Services</v>
      </c>
      <c r="E426" s="21" t="s">
        <v>26</v>
      </c>
      <c r="F426" s="21" t="s">
        <v>18</v>
      </c>
      <c r="G426" s="21" t="str">
        <f t="shared" si="1"/>
        <v>DECLINING</v>
      </c>
      <c r="H426" s="21" t="s">
        <v>66</v>
      </c>
      <c r="I426" s="24">
        <f>IFERROR(__xludf.DUMMYFUNCTION("ROUND(
  MAX(
    MIN(
      (
        (VALUE(INDEX(SPLIT(K426,""-""),1)) + VALUE(INDEX(SPLIT(K426,""-""),2))) / 2
      ) *
      IFS(
        L426&gt;0.4, 1.6,
        L426&gt;0.1, 1.3,
        L426&gt;=-0.05, 1,
        L426&gt;=-0.2, 0.85,
        TRUE, 0.7
     "&amp;" ),
      VALUE(INDEX(SPLIT(K426,""-""),2))
    ),
    VALUE(INDEX(SPLIT(K426,""-""),1))
  )
)"),26.0)</f>
        <v>26</v>
      </c>
      <c r="J426" s="25">
        <f>I426*(VLOOKUP(C426,'Rev_Mapping Table'!$A$1:$C$12,3,0))</f>
        <v>12818000</v>
      </c>
      <c r="K426" s="24" t="s">
        <v>25</v>
      </c>
      <c r="L426" s="26">
        <v>-0.19</v>
      </c>
      <c r="M426" s="27" t="str">
        <f>VLOOKUP(B426,Master_Mapper!$A$2:$C$628,3,0)</f>
        <v>QHP Capital</v>
      </c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</row>
    <row r="427">
      <c r="A427" s="13" t="b">
        <v>0</v>
      </c>
      <c r="B427" s="14" t="s">
        <v>704</v>
      </c>
      <c r="C427" s="13" t="str">
        <f>vlookup(B427,Vert_Mapper!$A$2:$C$567,2,0)</f>
        <v>Healthcare</v>
      </c>
      <c r="D427" s="13" t="str">
        <f>vlookup(B427,Vert_Mapper!$A$2:$C$567,3,0)</f>
        <v>Medical Devices &amp; Technology</v>
      </c>
      <c r="E427" s="13" t="s">
        <v>26</v>
      </c>
      <c r="F427" s="13" t="s">
        <v>18</v>
      </c>
      <c r="G427" s="13" t="str">
        <f t="shared" si="1"/>
        <v>SEVERELY NEGATIVE</v>
      </c>
      <c r="H427" s="13" t="s">
        <v>367</v>
      </c>
      <c r="I427" s="16">
        <f>IFERROR(__xludf.DUMMYFUNCTION("ROUND(
  MAX(
    MIN(
      (
        (VALUE(INDEX(SPLIT(K427,""-""),1)) + VALUE(INDEX(SPLIT(K427,""-""),2))) / 2
      ) *
      IFS(
        L427&gt;0.4, 1.6,
        L427&gt;0.1, 1.3,
        L427&gt;=-0.05, 1,
        L427&gt;=-0.2, 0.85,
        TRUE, 0.7
     "&amp;" ),
      VALUE(INDEX(SPLIT(K427,""-""),2))
    ),
    VALUE(INDEX(SPLIT(K427,""-""),1))
  )
)"),88.0)</f>
        <v>88</v>
      </c>
      <c r="J427" s="17">
        <f>I427*(VLOOKUP(C427,'Rev_Mapping Table'!$A$1:$C$12,3,0))</f>
        <v>48928000</v>
      </c>
      <c r="K427" s="16" t="s">
        <v>32</v>
      </c>
      <c r="L427" s="18">
        <v>-0.45</v>
      </c>
      <c r="M427" s="19" t="str">
        <f>VLOOKUP(B427,Master_Mapper!$A$2:$C$628,3,0)</f>
        <v>Harbright Ventures</v>
      </c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</row>
    <row r="428">
      <c r="A428" s="21" t="b">
        <v>0</v>
      </c>
      <c r="B428" s="31" t="s">
        <v>705</v>
      </c>
      <c r="C428" s="21" t="str">
        <f>vlookup(B428,Vert_Mapper!$A$2:$C$567,2,0)</f>
        <v>Industrials</v>
      </c>
      <c r="D428" s="21" t="str">
        <f>vlookup(B428,Vert_Mapper!$A$2:$C$567,3,0)</f>
        <v>Industrial Equipment &amp; Services</v>
      </c>
      <c r="E428" s="21" t="s">
        <v>26</v>
      </c>
      <c r="F428" s="21" t="s">
        <v>18</v>
      </c>
      <c r="G428" s="21" t="str">
        <f t="shared" si="1"/>
        <v>FLAT TO NEUTRAL</v>
      </c>
      <c r="H428" s="21" t="s">
        <v>706</v>
      </c>
      <c r="I428" s="24">
        <f>IFERROR(__xludf.DUMMYFUNCTION("ROUND(
  MAX(
    MIN(
      (
        (VALUE(INDEX(SPLIT(K428,""-""),1)) + VALUE(INDEX(SPLIT(K428,""-""),2))) / 2
      ) *
      IFS(
        L428&gt;0.4, 1.6,
        L428&gt;0.1, 1.3,
        L428&gt;=-0.05, 1,
        L428&gt;=-0.2, 0.85,
        TRUE, 0.7
     "&amp;" ),
      VALUE(INDEX(SPLIT(K428,""-""),2))
    ),
    VALUE(INDEX(SPLIT(K428,""-""),1))
  )
)"),126.0)</f>
        <v>126</v>
      </c>
      <c r="J428" s="25">
        <f>I428*(VLOOKUP(C428,'Rev_Mapping Table'!$A$1:$C$12,3,0))</f>
        <v>62118000</v>
      </c>
      <c r="K428" s="24" t="s">
        <v>32</v>
      </c>
      <c r="L428" s="26">
        <v>0.02</v>
      </c>
      <c r="M428" s="27" t="str">
        <f>VLOOKUP(B428,Master_Mapper!$A$2:$C$628,3,0)</f>
        <v>Carousel Capital</v>
      </c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</row>
    <row r="429">
      <c r="A429" s="13" t="b">
        <v>0</v>
      </c>
      <c r="B429" s="14" t="s">
        <v>707</v>
      </c>
      <c r="C429" s="13" t="str">
        <f>vlookup(B429,Vert_Mapper!$A$2:$C$567,2,0)</f>
        <v>Information Technology</v>
      </c>
      <c r="D429" s="13" t="str">
        <f>vlookup(B429,Vert_Mapper!$A$2:$C$567,3,0)</f>
        <v>Education Technology</v>
      </c>
      <c r="E429" s="13" t="s">
        <v>26</v>
      </c>
      <c r="F429" s="13" t="s">
        <v>18</v>
      </c>
      <c r="G429" s="13" t="str">
        <f t="shared" si="1"/>
        <v>DECLINING</v>
      </c>
      <c r="H429" s="13" t="s">
        <v>708</v>
      </c>
      <c r="I429" s="16">
        <f>IFERROR(__xludf.DUMMYFUNCTION("ROUND(
  MAX(
    MIN(
      (
        (VALUE(INDEX(SPLIT(K429,""-""),1)) + VALUE(INDEX(SPLIT(K429,""-""),2))) / 2
      ) *
      IFS(
        L429&gt;0.4, 1.6,
        L429&gt;0.1, 1.3,
        L429&gt;=-0.05, 1,
        L429&gt;=-0.2, 0.85,
        TRUE, 0.7
     "&amp;" ),
      VALUE(INDEX(SPLIT(K429,""-""),2))
    ),
    VALUE(INDEX(SPLIT(K429,""-""),1))
  )
)"),26.0)</f>
        <v>26</v>
      </c>
      <c r="J429" s="17">
        <f>I429*(VLOOKUP(C429,'Rev_Mapping Table'!$A$1:$C$12,3,0))</f>
        <v>14664000</v>
      </c>
      <c r="K429" s="16" t="s">
        <v>25</v>
      </c>
      <c r="L429" s="18">
        <v>-0.13</v>
      </c>
      <c r="M429" s="19" t="str">
        <f>VLOOKUP(B429,Master_Mapper!$A$2:$C$628,3,0)</f>
        <v>VentureSouth</v>
      </c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</row>
    <row r="430">
      <c r="A430" s="21" t="b">
        <v>0</v>
      </c>
      <c r="B430" s="31" t="s">
        <v>709</v>
      </c>
      <c r="C430" s="21" t="str">
        <f>vlookup(B430,Vert_Mapper!$A$2:$C$567,2,0)</f>
        <v>Information Technology</v>
      </c>
      <c r="D430" s="21" t="str">
        <f>vlookup(B430,Vert_Mapper!$A$2:$C$567,3,0)</f>
        <v>Software &amp; SaaS</v>
      </c>
      <c r="E430" s="21" t="s">
        <v>26</v>
      </c>
      <c r="F430" s="21" t="s">
        <v>18</v>
      </c>
      <c r="G430" s="21" t="str">
        <f t="shared" si="1"/>
        <v>DECLINING</v>
      </c>
      <c r="H430" s="21" t="s">
        <v>259</v>
      </c>
      <c r="I430" s="24">
        <f>IFERROR(__xludf.DUMMYFUNCTION("ROUND(
  MAX(
    MIN(
      (
        (VALUE(INDEX(SPLIT(K430,""-""),1)) + VALUE(INDEX(SPLIT(K430,""-""),2))) / 2
      ) *
      IFS(
        L430&gt;0.4, 1.6,
        L430&gt;0.1, 1.3,
        L430&gt;=-0.05, 1,
        L430&gt;=-0.2, 0.85,
        TRUE, 0.7
     "&amp;" ),
      VALUE(INDEX(SPLIT(K430,""-""),2))
    ),
    VALUE(INDEX(SPLIT(K430,""-""),1))
  )
)"),126.0)</f>
        <v>126</v>
      </c>
      <c r="J430" s="25">
        <f>I430*(VLOOKUP(C430,'Rev_Mapping Table'!$A$1:$C$12,3,0))</f>
        <v>71064000</v>
      </c>
      <c r="K430" s="24" t="s">
        <v>32</v>
      </c>
      <c r="L430" s="26">
        <v>-0.02</v>
      </c>
      <c r="M430" s="27" t="str">
        <f>VLOOKUP(B430,Master_Mapper!$A$2:$C$628,3,0)</f>
        <v>Pamlico Capital</v>
      </c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</row>
    <row r="431">
      <c r="A431" s="13" t="b">
        <v>0</v>
      </c>
      <c r="B431" s="14" t="s">
        <v>710</v>
      </c>
      <c r="C431" s="13" t="str">
        <f>vlookup(B431,Vert_Mapper!$A$2:$C$567,2,0)</f>
        <v>Information Technology</v>
      </c>
      <c r="D431" s="13" t="str">
        <f>vlookup(B431,Vert_Mapper!$A$2:$C$567,3,0)</f>
        <v>Software &amp; SaaS</v>
      </c>
      <c r="E431" s="13" t="s">
        <v>26</v>
      </c>
      <c r="F431" s="13" t="s">
        <v>18</v>
      </c>
      <c r="G431" s="13" t="str">
        <f t="shared" si="1"/>
        <v>FLAT TO NEUTRAL</v>
      </c>
      <c r="H431" s="13" t="s">
        <v>711</v>
      </c>
      <c r="I431" s="16">
        <f>IFERROR(__xludf.DUMMYFUNCTION("ROUND(
  MAX(
    MIN(
      (
        (VALUE(INDEX(SPLIT(K431,""-""),1)) + VALUE(INDEX(SPLIT(K431,""-""),2))) / 2
      ) *
      IFS(
        L431&gt;0.4, 1.6,
        L431&gt;0.1, 1.3,
        L431&gt;=-0.05, 1,
        L431&gt;=-0.2, 0.85,
        TRUE, 0.7
     "&amp;" ),
      VALUE(INDEX(SPLIT(K431,""-""),2))
    ),
    VALUE(INDEX(SPLIT(K431,""-""),1))
  )
)"),126.0)</f>
        <v>126</v>
      </c>
      <c r="J431" s="17">
        <f>I431*(VLOOKUP(C431,'Rev_Mapping Table'!$A$1:$C$12,3,0))</f>
        <v>71064000</v>
      </c>
      <c r="K431" s="16" t="s">
        <v>32</v>
      </c>
      <c r="L431" s="18">
        <v>0.0</v>
      </c>
      <c r="M431" s="19" t="str">
        <f>VLOOKUP(B431,Master_Mapper!$A$2:$C$628,3,0)</f>
        <v>Route 2 Capital Partners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</row>
    <row r="432">
      <c r="A432" s="21" t="b">
        <v>0</v>
      </c>
      <c r="B432" s="31" t="s">
        <v>712</v>
      </c>
      <c r="C432" s="21" t="str">
        <f>vlookup(B432,Vert_Mapper!$A$2:$C$567,2,0)</f>
        <v>Healthcare</v>
      </c>
      <c r="D432" s="21" t="str">
        <f>vlookup(B432,Vert_Mapper!$A$2:$C$567,3,0)</f>
        <v>Biotechnology &amp; Pharmaceuticals</v>
      </c>
      <c r="E432" s="21" t="s">
        <v>26</v>
      </c>
      <c r="F432" s="21" t="s">
        <v>18</v>
      </c>
      <c r="G432" s="21" t="str">
        <f t="shared" si="1"/>
        <v>FLAT TO NEUTRAL</v>
      </c>
      <c r="H432" s="21" t="s">
        <v>713</v>
      </c>
      <c r="I432" s="24">
        <f>IFERROR(__xludf.DUMMYFUNCTION("ROUND(
  MAX(
    MIN(
      (
        (VALUE(INDEX(SPLIT(K432,""-""),1)) + VALUE(INDEX(SPLIT(K432,""-""),2))) / 2
      ) *
      IFS(
        L432&gt;0.4, 1.6,
        L432&gt;0.1, 1.3,
        L432&gt;=-0.05, 1,
        L432&gt;=-0.2, 0.85,
        TRUE, 0.7
     "&amp;" ),
      VALUE(INDEX(SPLIT(K432,""-""),2))
    ),
    VALUE(INDEX(SPLIT(K432,""-""),1))
  )
)"),126.0)</f>
        <v>126</v>
      </c>
      <c r="J432" s="25">
        <f>I432*(VLOOKUP(C432,'Rev_Mapping Table'!$A$1:$C$12,3,0))</f>
        <v>70056000</v>
      </c>
      <c r="K432" s="24" t="s">
        <v>32</v>
      </c>
      <c r="L432" s="26">
        <v>0.03</v>
      </c>
      <c r="M432" s="27" t="str">
        <f>VLOOKUP(B432,Master_Mapper!$A$2:$C$628,3,0)</f>
        <v>Pamlico Capital</v>
      </c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</row>
    <row r="433">
      <c r="A433" s="13" t="b">
        <v>0</v>
      </c>
      <c r="B433" s="14" t="s">
        <v>714</v>
      </c>
      <c r="C433" s="13" t="str">
        <f>vlookup(B433,Vert_Mapper!$A$2:$C$567,2,0)</f>
        <v>Consumer Discretionary</v>
      </c>
      <c r="D433" s="13" t="str">
        <f>vlookup(B433,Vert_Mapper!$A$2:$C$567,3,0)</f>
        <v>Consumer Products</v>
      </c>
      <c r="E433" s="13" t="s">
        <v>26</v>
      </c>
      <c r="F433" s="13" t="s">
        <v>18</v>
      </c>
      <c r="G433" s="13" t="str">
        <f t="shared" si="1"/>
        <v>HYPERGROWTH</v>
      </c>
      <c r="H433" s="13" t="s">
        <v>131</v>
      </c>
      <c r="I433" s="16" t="str">
        <f>IFERROR(__xludf.DUMMYFUNCTION("ROUND(
  MAX(
    MIN(
      (
        (VALUE(INDEX(SPLIT(K433,""-""),1)) + VALUE(INDEX(SPLIT(K433,""-""),2))) / 2
      ) *
      IFS(
        L433&gt;0.4, 1.6,
        L433&gt;0.1, 1.3,
        L433&gt;=-0.05, 1,
        L433&gt;=-0.2, 0.85,
        TRUE, 0.7
     "&amp;" ),
      VALUE(INDEX(SPLIT(K433,""-""),2))
    ),
    VALUE(INDEX(SPLIT(K433,""-""),1))
  )
)"),"#VALUE!")</f>
        <v>#VALUE!</v>
      </c>
      <c r="J433" s="17" t="str">
        <f>I433*(VLOOKUP(C433,'Rev_Mapping Table'!$A$1:$C$12,3,0))</f>
        <v>#VALUE!</v>
      </c>
      <c r="K433" s="33" t="s">
        <v>131</v>
      </c>
      <c r="L433" s="33" t="s">
        <v>131</v>
      </c>
      <c r="M433" s="19" t="str">
        <f>VLOOKUP(B433,Master_Mapper!$A$2:$C$628,3,0)</f>
        <v>WJ Partners</v>
      </c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</row>
    <row r="434">
      <c r="A434" s="21" t="b">
        <v>0</v>
      </c>
      <c r="B434" s="31" t="s">
        <v>715</v>
      </c>
      <c r="C434" s="21" t="str">
        <f>vlookup(B434,Vert_Mapper!$A$2:$C$567,2,0)</f>
        <v>Consumer Discretionary</v>
      </c>
      <c r="D434" s="21" t="str">
        <f>vlookup(B434,Vert_Mapper!$A$2:$C$567,3,0)</f>
        <v>Consumer Products</v>
      </c>
      <c r="E434" s="21" t="s">
        <v>26</v>
      </c>
      <c r="F434" s="21" t="s">
        <v>18</v>
      </c>
      <c r="G434" s="21" t="str">
        <f t="shared" si="1"/>
        <v>DECLINING</v>
      </c>
      <c r="H434" s="21" t="s">
        <v>716</v>
      </c>
      <c r="I434" s="24">
        <f>IFERROR(__xludf.DUMMYFUNCTION("ROUND(
  MAX(
    MIN(
      (
        (VALUE(INDEX(SPLIT(K434,""-""),1)) + VALUE(INDEX(SPLIT(K434,""-""),2))) / 2
      ) *
      IFS(
        L434&gt;0.4, 1.6,
        L434&gt;0.1, 1.3,
        L434&gt;=-0.05, 1,
        L434&gt;=-0.2, 0.85,
        TRUE, 0.7
     "&amp;" ),
      VALUE(INDEX(SPLIT(K434,""-""),2))
    ),
    VALUE(INDEX(SPLIT(K434,""-""),1))
  )
)"),26.0)</f>
        <v>26</v>
      </c>
      <c r="J434" s="25">
        <f>I434*(VLOOKUP(C434,'Rev_Mapping Table'!$A$1:$C$12,3,0))</f>
        <v>13312000</v>
      </c>
      <c r="K434" s="24" t="s">
        <v>25</v>
      </c>
      <c r="L434" s="26">
        <v>-0.2</v>
      </c>
      <c r="M434" s="27" t="str">
        <f>VLOOKUP(B434,Master_Mapper!$A$2:$C$628,3,0)</f>
        <v>Halifax Group</v>
      </c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</row>
    <row r="435">
      <c r="A435" s="13" t="b">
        <v>0</v>
      </c>
      <c r="B435" s="14" t="s">
        <v>717</v>
      </c>
      <c r="C435" s="13" t="str">
        <f>vlookup(B435,Vert_Mapper!$A$2:$C$567,2,0)</f>
        <v>Consumer Discretionary</v>
      </c>
      <c r="D435" s="13" t="str">
        <f>vlookup(B435,Vert_Mapper!$A$2:$C$567,3,0)</f>
        <v>Automotive Services</v>
      </c>
      <c r="E435" s="13" t="s">
        <v>26</v>
      </c>
      <c r="F435" s="13" t="s">
        <v>18</v>
      </c>
      <c r="G435" s="13" t="str">
        <f t="shared" si="1"/>
        <v>ACCELERATED GROWTH</v>
      </c>
      <c r="H435" s="13" t="s">
        <v>73</v>
      </c>
      <c r="I435" s="16">
        <f>IFERROR(__xludf.DUMMYFUNCTION("ROUND(
  MAX(
    MIN(
      (
        (VALUE(INDEX(SPLIT(K435,""-""),1)) + VALUE(INDEX(SPLIT(K435,""-""),2))) / 2
      ) *
      IFS(
        L435&gt;0.4, 1.6,
        L435&gt;0.1, 1.3,
        L435&gt;=-0.05, 1,
        L435&gt;=-0.2, 0.85,
        TRUE, 0.7
     "&amp;" ),
      VALUE(INDEX(SPLIT(K435,""-""),2))
    ),
    VALUE(INDEX(SPLIT(K435,""-""),1))
  )
)"),3901.0)</f>
        <v>3901</v>
      </c>
      <c r="J435" s="17">
        <f>I435*(VLOOKUP(C435,'Rev_Mapping Table'!$A$1:$C$12,3,0))</f>
        <v>1997312000</v>
      </c>
      <c r="K435" s="16" t="s">
        <v>96</v>
      </c>
      <c r="L435" s="18">
        <v>0.28</v>
      </c>
      <c r="M435" s="19" t="str">
        <f>VLOOKUP(B435,Master_Mapper!$A$2:$C$628,3,0)</f>
        <v>Carousel Capital</v>
      </c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</row>
    <row r="436">
      <c r="A436" s="21" t="b">
        <v>0</v>
      </c>
      <c r="B436" s="31" t="s">
        <v>718</v>
      </c>
      <c r="C436" s="21" t="str">
        <f>vlookup(B436,Vert_Mapper!$A$2:$C$567,2,0)</f>
        <v>Information Technology</v>
      </c>
      <c r="D436" s="21" t="str">
        <f>vlookup(B436,Vert_Mapper!$A$2:$C$567,3,0)</f>
        <v>Software &amp; SaaS</v>
      </c>
      <c r="E436" s="21" t="s">
        <v>26</v>
      </c>
      <c r="F436" s="21" t="s">
        <v>18</v>
      </c>
      <c r="G436" s="21" t="str">
        <f t="shared" si="1"/>
        <v>FLAT TO NEUTRAL</v>
      </c>
      <c r="H436" s="21" t="s">
        <v>310</v>
      </c>
      <c r="I436" s="24">
        <f>IFERROR(__xludf.DUMMYFUNCTION("ROUND(
  MAX(
    MIN(
      (
        (VALUE(INDEX(SPLIT(K436,""-""),1)) + VALUE(INDEX(SPLIT(K436,""-""),2))) / 2
      ) *
      IFS(
        L436&gt;0.4, 1.6,
        L436&gt;0.1, 1.3,
        L436&gt;=-0.05, 1,
        L436&gt;=-0.2, 0.85,
        TRUE, 0.7
     "&amp;" ),
      VALUE(INDEX(SPLIT(K436,""-""),2))
    ),
    VALUE(INDEX(SPLIT(K436,""-""),1))
  )
)"),31.0)</f>
        <v>31</v>
      </c>
      <c r="J436" s="25">
        <f>I436*(VLOOKUP(C436,'Rev_Mapping Table'!$A$1:$C$12,3,0))</f>
        <v>17484000</v>
      </c>
      <c r="K436" s="24" t="s">
        <v>25</v>
      </c>
      <c r="L436" s="26">
        <v>0.0</v>
      </c>
      <c r="M436" s="27" t="str">
        <f>VLOOKUP(B436,Master_Mapper!$A$2:$C$628,3,0)</f>
        <v/>
      </c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</row>
    <row r="437">
      <c r="A437" s="13" t="b">
        <v>0</v>
      </c>
      <c r="B437" s="14" t="s">
        <v>719</v>
      </c>
      <c r="C437" s="13" t="str">
        <f>vlookup(B437,Vert_Mapper!$A$2:$C$567,2,0)</f>
        <v>Industrials</v>
      </c>
      <c r="D437" s="13" t="str">
        <f>vlookup(B437,Vert_Mapper!$A$2:$C$567,3,0)</f>
        <v>Home Services / Construction / Industrial Services</v>
      </c>
      <c r="E437" s="13" t="s">
        <v>26</v>
      </c>
      <c r="F437" s="13" t="s">
        <v>18</v>
      </c>
      <c r="G437" s="13" t="str">
        <f t="shared" si="1"/>
        <v>HYPERGROWTH</v>
      </c>
      <c r="H437" s="13" t="s">
        <v>131</v>
      </c>
      <c r="I437" s="16" t="str">
        <f>IFERROR(__xludf.DUMMYFUNCTION("ROUND(
  MAX(
    MIN(
      (
        (VALUE(INDEX(SPLIT(K437,""-""),1)) + VALUE(INDEX(SPLIT(K437,""-""),2))) / 2
      ) *
      IFS(
        L437&gt;0.4, 1.6,
        L437&gt;0.1, 1.3,
        L437&gt;=-0.05, 1,
        L437&gt;=-0.2, 0.85,
        TRUE, 0.7
     "&amp;" ),
      VALUE(INDEX(SPLIT(K437,""-""),2))
    ),
    VALUE(INDEX(SPLIT(K437,""-""),1))
  )
)"),"#VALUE!")</f>
        <v>#VALUE!</v>
      </c>
      <c r="J437" s="17" t="str">
        <f>I437*(VLOOKUP(C437,'Rev_Mapping Table'!$A$1:$C$12,3,0))</f>
        <v>#VALUE!</v>
      </c>
      <c r="K437" s="33" t="s">
        <v>131</v>
      </c>
      <c r="L437" s="33" t="s">
        <v>131</v>
      </c>
      <c r="M437" s="19" t="str">
        <f>VLOOKUP(B437,Master_Mapper!$A$2:$C$628,3,0)</f>
        <v>Route 2 Capital Partners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</row>
    <row r="438">
      <c r="A438" s="21" t="b">
        <v>0</v>
      </c>
      <c r="B438" s="31" t="s">
        <v>720</v>
      </c>
      <c r="C438" s="21" t="str">
        <f>vlookup(B438,Vert_Mapper!$A$2:$C$567,2,0)</f>
        <v>Industrials</v>
      </c>
      <c r="D438" s="21" t="str">
        <f>vlookup(B438,Vert_Mapper!$A$2:$C$567,3,0)</f>
        <v>Manufacturing &amp; Processing</v>
      </c>
      <c r="E438" s="21" t="s">
        <v>26</v>
      </c>
      <c r="F438" s="21" t="s">
        <v>18</v>
      </c>
      <c r="G438" s="21" t="str">
        <f t="shared" si="1"/>
        <v>DECLINING</v>
      </c>
      <c r="H438" s="21" t="s">
        <v>323</v>
      </c>
      <c r="I438" s="24">
        <f>IFERROR(__xludf.DUMMYFUNCTION("ROUND(
  MAX(
    MIN(
      (
        (VALUE(INDEX(SPLIT(K438,""-""),1)) + VALUE(INDEX(SPLIT(K438,""-""),2))) / 2
      ) *
      IFS(
        L438&gt;0.4, 1.6,
        L438&gt;0.1, 1.3,
        L438&gt;=-0.05, 1,
        L438&gt;=-0.2, 0.85,
        TRUE, 0.7
     "&amp;" ),
      VALUE(INDEX(SPLIT(K438,""-""),2))
    ),
    VALUE(INDEX(SPLIT(K438,""-""),1))
  )
)"),107.0)</f>
        <v>107</v>
      </c>
      <c r="J438" s="25">
        <f>I438*(VLOOKUP(C438,'Rev_Mapping Table'!$A$1:$C$12,3,0))</f>
        <v>52751000</v>
      </c>
      <c r="K438" s="24" t="s">
        <v>32</v>
      </c>
      <c r="L438" s="26">
        <v>-0.2</v>
      </c>
      <c r="M438" s="27" t="str">
        <f>VLOOKUP(B438,Master_Mapper!$A$2:$C$628,3,0)</f>
        <v>Vibora Capital</v>
      </c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</row>
    <row r="439">
      <c r="A439" s="13" t="b">
        <v>0</v>
      </c>
      <c r="B439" s="14" t="s">
        <v>721</v>
      </c>
      <c r="C439" s="13" t="str">
        <f>vlookup(B439,Vert_Mapper!$A$2:$C$567,2,0)</f>
        <v>Industrials</v>
      </c>
      <c r="D439" s="13" t="str">
        <f>vlookup(B439,Vert_Mapper!$A$2:$C$567,3,0)</f>
        <v>Home Services / Construction / Industrial Services</v>
      </c>
      <c r="E439" s="13" t="s">
        <v>65</v>
      </c>
      <c r="F439" s="13" t="s">
        <v>30</v>
      </c>
      <c r="G439" s="13" t="str">
        <f t="shared" si="1"/>
        <v>HYPERGROWTH</v>
      </c>
      <c r="H439" s="13" t="s">
        <v>433</v>
      </c>
      <c r="I439" s="16" t="str">
        <f>IFERROR(__xludf.DUMMYFUNCTION("ROUND(
  MAX(
    MIN(
      (
        (VALUE(INDEX(SPLIT(K439,""-""),1)) + VALUE(INDEX(SPLIT(K439,""-""),2))) / 2
      ) *
      IFS(
        L439&gt;0.4, 1.6,
        L439&gt;0.1, 1.3,
        L439&gt;=-0.05, 1,
        L439&gt;=-0.2, 0.85,
        TRUE, 0.7
     "&amp;" ),
      VALUE(INDEX(SPLIT(K439,""-""),2))
    ),
    VALUE(INDEX(SPLIT(K439,""-""),1))
  )
)"),"#VALUE!")</f>
        <v>#VALUE!</v>
      </c>
      <c r="J439" s="17" t="str">
        <f>I439*(VLOOKUP(C439,'Rev_Mapping Table'!$A$1:$C$12,3,0))</f>
        <v>#VALUE!</v>
      </c>
      <c r="K439" s="33" t="s">
        <v>433</v>
      </c>
      <c r="L439" s="33" t="s">
        <v>433</v>
      </c>
      <c r="M439" s="19" t="str">
        <f>VLOOKUP(B439,Master_Mapper!$A$2:$C$628,3,0)</f>
        <v>Azalea Capital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</row>
    <row r="440">
      <c r="A440" s="21" t="b">
        <v>0</v>
      </c>
      <c r="B440" s="31" t="s">
        <v>722</v>
      </c>
      <c r="C440" s="21" t="str">
        <f>vlookup(B440,Vert_Mapper!$A$2:$C$567,2,0)</f>
        <v>Healthcare</v>
      </c>
      <c r="D440" s="21" t="str">
        <f>vlookup(B440,Vert_Mapper!$A$2:$C$567,3,0)</f>
        <v>Healthcare Technology &amp; Analytics</v>
      </c>
      <c r="E440" s="21" t="s">
        <v>65</v>
      </c>
      <c r="F440" s="21" t="s">
        <v>30</v>
      </c>
      <c r="G440" s="21" t="str">
        <f t="shared" si="1"/>
        <v>FLAT TO NEUTRAL</v>
      </c>
      <c r="H440" s="21" t="s">
        <v>723</v>
      </c>
      <c r="I440" s="24">
        <f>IFERROR(__xludf.DUMMYFUNCTION("ROUND(
  MAX(
    MIN(
      (
        (VALUE(INDEX(SPLIT(K440,""-""),1)) + VALUE(INDEX(SPLIT(K440,""-""),2))) / 2
      ) *
      IFS(
        L440&gt;0.4, 1.6,
        L440&gt;0.1, 1.3,
        L440&gt;=-0.05, 1,
        L440&gt;=-0.2, 0.85,
        TRUE, 0.7
     "&amp;" ),
      VALUE(INDEX(SPLIT(K440,""-""),2))
    ),
    VALUE(INDEX(SPLIT(K440,""-""),1))
  )
)"),126.0)</f>
        <v>126</v>
      </c>
      <c r="J440" s="25">
        <f>I440*(VLOOKUP(C440,'Rev_Mapping Table'!$A$1:$C$12,3,0))</f>
        <v>70056000</v>
      </c>
      <c r="K440" s="24" t="s">
        <v>32</v>
      </c>
      <c r="L440" s="26">
        <v>0.02</v>
      </c>
      <c r="M440" s="27" t="str">
        <f>VLOOKUP(B440,Master_Mapper!$A$2:$C$628,3,0)</f>
        <v/>
      </c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</row>
    <row r="441">
      <c r="A441" s="13" t="b">
        <v>0</v>
      </c>
      <c r="B441" s="14" t="s">
        <v>724</v>
      </c>
      <c r="C441" s="13" t="str">
        <f>vlookup(B441,Vert_Mapper!$A$2:$C$567,2,0)</f>
        <v>Information Technology</v>
      </c>
      <c r="D441" s="13" t="str">
        <f>vlookup(B441,Vert_Mapper!$A$2:$C$567,3,0)</f>
        <v>Software &amp; SaaS</v>
      </c>
      <c r="E441" s="13" t="s">
        <v>26</v>
      </c>
      <c r="F441" s="13" t="s">
        <v>18</v>
      </c>
      <c r="G441" s="13" t="str">
        <f t="shared" si="1"/>
        <v>GROWTH PHASE</v>
      </c>
      <c r="H441" s="13" t="s">
        <v>301</v>
      </c>
      <c r="I441" s="16">
        <f>IFERROR(__xludf.DUMMYFUNCTION("ROUND(
  MAX(
    MIN(
      (
        (VALUE(INDEX(SPLIT(K441,""-""),1)) + VALUE(INDEX(SPLIT(K441,""-""),2))) / 2
      ) *
      IFS(
        L441&gt;0.4, 1.6,
        L441&gt;0.1, 1.3,
        L441&gt;=-0.05, 1,
        L441&gt;=-0.2, 0.85,
        TRUE, 0.7
     "&amp;" ),
      VALUE(INDEX(SPLIT(K441,""-""),2))
    ),
    VALUE(INDEX(SPLIT(K441,""-""),1))
  )
)"),31.0)</f>
        <v>31</v>
      </c>
      <c r="J441" s="17">
        <f>I441*(VLOOKUP(C441,'Rev_Mapping Table'!$A$1:$C$12,3,0))</f>
        <v>17484000</v>
      </c>
      <c r="K441" s="16" t="s">
        <v>25</v>
      </c>
      <c r="L441" s="18">
        <v>0.09</v>
      </c>
      <c r="M441" s="19" t="str">
        <f>VLOOKUP(B441,Master_Mapper!$A$2:$C$628,3,0)</f>
        <v>Cape Fear Ventures</v>
      </c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</row>
    <row r="442">
      <c r="A442" s="21" t="b">
        <v>0</v>
      </c>
      <c r="B442" s="31" t="s">
        <v>725</v>
      </c>
      <c r="C442" s="21" t="str">
        <f>vlookup(B442,Vert_Mapper!$A$2:$C$567,2,0)</f>
        <v>Healthcare</v>
      </c>
      <c r="D442" s="21" t="str">
        <f>vlookup(B442,Vert_Mapper!$A$2:$C$567,3,0)</f>
        <v>Biotechnology &amp; Pharmaceuticals</v>
      </c>
      <c r="E442" s="21" t="s">
        <v>85</v>
      </c>
      <c r="F442" s="21" t="s">
        <v>18</v>
      </c>
      <c r="G442" s="21" t="str">
        <f t="shared" si="1"/>
        <v>GROWTH PHASE</v>
      </c>
      <c r="H442" s="21" t="s">
        <v>341</v>
      </c>
      <c r="I442" s="24">
        <f>IFERROR(__xludf.DUMMYFUNCTION("ROUND(
  MAX(
    MIN(
      (
        (VALUE(INDEX(SPLIT(K442,""-""),1)) + VALUE(INDEX(SPLIT(K442,""-""),2))) / 2
      ) *
      IFS(
        L442&gt;0.4, 1.6,
        L442&gt;0.1, 1.3,
        L442&gt;=-0.05, 1,
        L442&gt;=-0.2, 0.85,
        TRUE, 0.7
     "&amp;" ),
      VALUE(INDEX(SPLIT(K442,""-""),2))
    ),
    VALUE(INDEX(SPLIT(K442,""-""),1))
  )
)"),31.0)</f>
        <v>31</v>
      </c>
      <c r="J442" s="25">
        <f>I442*(VLOOKUP(C442,'Rev_Mapping Table'!$A$1:$C$12,3,0))</f>
        <v>17236000</v>
      </c>
      <c r="K442" s="24" t="s">
        <v>25</v>
      </c>
      <c r="L442" s="26">
        <v>0.04</v>
      </c>
      <c r="M442" s="27" t="str">
        <f>VLOOKUP(B442,Master_Mapper!$A$2:$C$628,3,0)</f>
        <v>Cock Island Capital</v>
      </c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</row>
    <row r="443">
      <c r="A443" s="13" t="b">
        <v>1</v>
      </c>
      <c r="B443" s="14" t="s">
        <v>726</v>
      </c>
      <c r="C443" s="13" t="str">
        <f>vlookup(B443,Vert_Mapper!$A$2:$C$567,2,0)</f>
        <v>Information Technology</v>
      </c>
      <c r="D443" s="13" t="str">
        <f>vlookup(B443,Vert_Mapper!$A$2:$C$567,3,0)</f>
        <v>Software &amp; SaaS</v>
      </c>
      <c r="E443" s="13" t="s">
        <v>26</v>
      </c>
      <c r="F443" s="13" t="s">
        <v>18</v>
      </c>
      <c r="G443" s="13" t="str">
        <f t="shared" si="1"/>
        <v>GROWTH PHASE</v>
      </c>
      <c r="H443" s="13" t="s">
        <v>66</v>
      </c>
      <c r="I443" s="16">
        <f>IFERROR(__xludf.DUMMYFUNCTION("ROUND(
  MAX(
    MIN(
      (
        (VALUE(INDEX(SPLIT(K443,""-""),1)) + VALUE(INDEX(SPLIT(K443,""-""),2))) / 2
      ) *
      IFS(
        L443&gt;0.4, 1.6,
        L443&gt;0.1, 1.3,
        L443&gt;=-0.05, 1,
        L443&gt;=-0.2, 0.85,
        TRUE, 0.7
     "&amp;" ),
      VALUE(INDEX(SPLIT(K443,""-""),2))
    ),
    VALUE(INDEX(SPLIT(K443,""-""),1))
  )
)"),31.0)</f>
        <v>31</v>
      </c>
      <c r="J443" s="17">
        <f>I443*(VLOOKUP(C443,'Rev_Mapping Table'!$A$1:$C$12,3,0))</f>
        <v>17484000</v>
      </c>
      <c r="K443" s="16" t="s">
        <v>25</v>
      </c>
      <c r="L443" s="18">
        <v>0.04</v>
      </c>
      <c r="M443" s="19" t="str">
        <f>VLOOKUP(B443,Master_Mapper!$A$2:$C$628,3,0)</f>
        <v>VentureSouth</v>
      </c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</row>
    <row r="444">
      <c r="A444" s="21" t="b">
        <v>0</v>
      </c>
      <c r="B444" s="31" t="s">
        <v>727</v>
      </c>
      <c r="C444" s="21" t="str">
        <f>vlookup(B444,Vert_Mapper!$A$2:$C$567,2,0)</f>
        <v>Real Estate</v>
      </c>
      <c r="D444" s="21" t="str">
        <f>vlookup(B444,Vert_Mapper!$A$2:$C$567,3,0)</f>
        <v>Property Management &amp; Services</v>
      </c>
      <c r="E444" s="21" t="s">
        <v>26</v>
      </c>
      <c r="F444" s="21" t="s">
        <v>18</v>
      </c>
      <c r="G444" s="21" t="str">
        <f t="shared" si="1"/>
        <v>FLAT TO NEUTRAL</v>
      </c>
      <c r="H444" s="21" t="s">
        <v>215</v>
      </c>
      <c r="I444" s="24">
        <f>IFERROR(__xludf.DUMMYFUNCTION("ROUND(
  MAX(
    MIN(
      (
        (VALUE(INDEX(SPLIT(K444,""-""),1)) + VALUE(INDEX(SPLIT(K444,""-""),2))) / 2
      ) *
      IFS(
        L444&gt;0.4, 1.6,
        L444&gt;0.1, 1.3,
        L444&gt;=-0.05, 1,
        L444&gt;=-0.2, 0.85,
        TRUE, 0.7
     "&amp;" ),
      VALUE(INDEX(SPLIT(K444,""-""),2))
    ),
    VALUE(INDEX(SPLIT(K444,""-""),1))
  )
)"),31.0)</f>
        <v>31</v>
      </c>
      <c r="J444" s="25">
        <f>I444*(VLOOKUP(C444,'Rev_Mapping Table'!$A$1:$C$12,3,0))</f>
        <v>14260000</v>
      </c>
      <c r="K444" s="24" t="s">
        <v>25</v>
      </c>
      <c r="L444" s="26">
        <v>0.0</v>
      </c>
      <c r="M444" s="27" t="str">
        <f>VLOOKUP(B444,Master_Mapper!$A$2:$C$628,3,0)</f>
        <v>Cock Island Capital</v>
      </c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</row>
    <row r="445">
      <c r="A445" s="13" t="b">
        <v>0</v>
      </c>
      <c r="B445" s="14" t="s">
        <v>728</v>
      </c>
      <c r="C445" s="13" t="str">
        <f>vlookup(B445,Vert_Mapper!$A$2:$C$567,2,0)</f>
        <v>Information Technology</v>
      </c>
      <c r="D445" s="13" t="str">
        <f>vlookup(B445,Vert_Mapper!$A$2:$C$567,3,0)</f>
        <v>Legal Technology</v>
      </c>
      <c r="E445" s="13" t="s">
        <v>26</v>
      </c>
      <c r="F445" s="13" t="s">
        <v>18</v>
      </c>
      <c r="G445" s="13" t="str">
        <f t="shared" si="1"/>
        <v>GROWTH PHASE</v>
      </c>
      <c r="H445" s="13" t="s">
        <v>155</v>
      </c>
      <c r="I445" s="16">
        <f>IFERROR(__xludf.DUMMYFUNCTION("ROUND(
  MAX(
    MIN(
      (
        (VALUE(INDEX(SPLIT(K445,""-""),1)) + VALUE(INDEX(SPLIT(K445,""-""),2))) / 2
      ) *
      IFS(
        L445&gt;0.4, 1.6,
        L445&gt;0.1, 1.3,
        L445&gt;=-0.05, 1,
        L445&gt;=-0.2, 0.85,
        TRUE, 0.7
     "&amp;" ),
      VALUE(INDEX(SPLIT(K445,""-""),2))
    ),
    VALUE(INDEX(SPLIT(K445,""-""),1))
  )
)"),3001.0)</f>
        <v>3001</v>
      </c>
      <c r="J445" s="17">
        <f>I445*(VLOOKUP(C445,'Rev_Mapping Table'!$A$1:$C$12,3,0))</f>
        <v>1692564000</v>
      </c>
      <c r="K445" s="16" t="s">
        <v>96</v>
      </c>
      <c r="L445" s="18">
        <v>0.07</v>
      </c>
      <c r="M445" s="19" t="str">
        <f>VLOOKUP(B445,Master_Mapper!$A$2:$C$628,3,0)</f>
        <v>Vibora Capital</v>
      </c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</row>
    <row r="446">
      <c r="A446" s="21" t="b">
        <v>0</v>
      </c>
      <c r="B446" s="31" t="s">
        <v>729</v>
      </c>
      <c r="C446" s="21" t="str">
        <f>vlookup(B446,Vert_Mapper!$A$2:$C$567,2,0)</f>
        <v>Industrials</v>
      </c>
      <c r="D446" s="21" t="str">
        <f>vlookup(B446,Vert_Mapper!$A$2:$C$567,3,0)</f>
        <v>Aerospace and Defense</v>
      </c>
      <c r="E446" s="21" t="s">
        <v>65</v>
      </c>
      <c r="F446" s="21" t="s">
        <v>30</v>
      </c>
      <c r="G446" s="21" t="str">
        <f t="shared" si="1"/>
        <v>FLAT TO NEUTRAL</v>
      </c>
      <c r="H446" s="21" t="s">
        <v>473</v>
      </c>
      <c r="I446" s="24">
        <f>IFERROR(__xludf.DUMMYFUNCTION("ROUND(
  MAX(
    MIN(
      (
        (VALUE(INDEX(SPLIT(K446,""-""),1)) + VALUE(INDEX(SPLIT(K446,""-""),2))) / 2
      ) *
      IFS(
        L446&gt;0.4, 1.6,
        L446&gt;0.1, 1.3,
        L446&gt;=-0.05, 1,
        L446&gt;=-0.2, 0.85,
        TRUE, 0.7
     "&amp;" ),
      VALUE(INDEX(SPLIT(K446,""-""),2))
    ),
    VALUE(INDEX(SPLIT(K446,""-""),1))
  )
)"),31.0)</f>
        <v>31</v>
      </c>
      <c r="J446" s="25">
        <f>I446*(VLOOKUP(C446,'Rev_Mapping Table'!$A$1:$C$12,3,0))</f>
        <v>15283000</v>
      </c>
      <c r="K446" s="24" t="s">
        <v>25</v>
      </c>
      <c r="L446" s="26">
        <v>0.0</v>
      </c>
      <c r="M446" s="27" t="str">
        <f>VLOOKUP(B446,Master_Mapper!$A$2:$C$628,3,0)</f>
        <v>Route 2 Capital Partners</v>
      </c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</row>
    <row r="447">
      <c r="A447" s="13" t="b">
        <v>0</v>
      </c>
      <c r="B447" s="14" t="s">
        <v>730</v>
      </c>
      <c r="C447" s="13" t="str">
        <f>vlookup(B447,Vert_Mapper!$A$2:$C$567,2,0)</f>
        <v>Financials</v>
      </c>
      <c r="D447" s="13" t="str">
        <f>vlookup(B447,Vert_Mapper!$A$2:$C$567,3,0)</f>
        <v>Insurance &amp; InsurTech</v>
      </c>
      <c r="E447" s="13" t="s">
        <v>26</v>
      </c>
      <c r="F447" s="13" t="s">
        <v>18</v>
      </c>
      <c r="G447" s="13" t="str">
        <f t="shared" si="1"/>
        <v>GROWTH PHASE</v>
      </c>
      <c r="H447" s="13" t="s">
        <v>731</v>
      </c>
      <c r="I447" s="16">
        <f>IFERROR(__xludf.DUMMYFUNCTION("ROUND(
  MAX(
    MIN(
      (
        (VALUE(INDEX(SPLIT(K447,""-""),1)) + VALUE(INDEX(SPLIT(K447,""-""),2))) / 2
      ) *
      IFS(
        L447&gt;0.4, 1.6,
        L447&gt;0.1, 1.3,
        L447&gt;=-0.05, 1,
        L447&gt;=-0.2, 0.85,
        TRUE, 0.7
     "&amp;" ),
      VALUE(INDEX(SPLIT(K447,""-""),2))
    ),
    VALUE(INDEX(SPLIT(K447,""-""),1))
  )
)"),351.0)</f>
        <v>351</v>
      </c>
      <c r="J447" s="17">
        <f>I447*(VLOOKUP(C447,'Rev_Mapping Table'!$A$1:$C$12,3,0))</f>
        <v>317655000</v>
      </c>
      <c r="K447" s="16" t="s">
        <v>20</v>
      </c>
      <c r="L447" s="18">
        <v>0.09</v>
      </c>
      <c r="M447" s="19" t="str">
        <f>VLOOKUP(B447,Master_Mapper!$A$2:$C$628,3,0)</f>
        <v>Carousel Capital</v>
      </c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</row>
    <row r="448">
      <c r="A448" s="21" t="b">
        <v>0</v>
      </c>
      <c r="B448" s="31" t="s">
        <v>732</v>
      </c>
      <c r="C448" s="21" t="str">
        <f>vlookup(B448,Vert_Mapper!$A$2:$C$567,2,0)</f>
        <v>Healthcare</v>
      </c>
      <c r="D448" s="21" t="str">
        <f>vlookup(B448,Vert_Mapper!$A$2:$C$567,3,0)</f>
        <v>Healthcare Technology &amp; Analytics</v>
      </c>
      <c r="E448" s="21" t="s">
        <v>26</v>
      </c>
      <c r="F448" s="21" t="s">
        <v>18</v>
      </c>
      <c r="G448" s="21" t="str">
        <f t="shared" si="1"/>
        <v>DECLINING</v>
      </c>
      <c r="H448" s="21" t="s">
        <v>733</v>
      </c>
      <c r="I448" s="24">
        <f>IFERROR(__xludf.DUMMYFUNCTION("ROUND(
  MAX(
    MIN(
      (
        (VALUE(INDEX(SPLIT(K448,""-""),1)) + VALUE(INDEX(SPLIT(K448,""-""),2))) / 2
      ) *
      IFS(
        L448&gt;0.4, 1.6,
        L448&gt;0.1, 1.3,
        L448&gt;=-0.05, 1,
        L448&gt;=-0.2, 0.85,
        TRUE, 0.7
     "&amp;" ),
      VALUE(INDEX(SPLIT(K448,""-""),2))
    ),
    VALUE(INDEX(SPLIT(K448,""-""),1))
  )
)"),107.0)</f>
        <v>107</v>
      </c>
      <c r="J448" s="25">
        <f>I448*(VLOOKUP(C448,'Rev_Mapping Table'!$A$1:$C$12,3,0))</f>
        <v>59492000</v>
      </c>
      <c r="K448" s="24" t="s">
        <v>32</v>
      </c>
      <c r="L448" s="26">
        <v>-0.07</v>
      </c>
      <c r="M448" s="27" t="str">
        <f>VLOOKUP(B448,Master_Mapper!$A$2:$C$628,3,0)</f>
        <v>Cerity Partners</v>
      </c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</row>
    <row r="449">
      <c r="A449" s="13" t="b">
        <v>0</v>
      </c>
      <c r="B449" s="14" t="s">
        <v>734</v>
      </c>
      <c r="C449" s="13" t="str">
        <f>vlookup(B449,Vert_Mapper!$A$2:$C$567,2,0)</f>
        <v>Real Estate</v>
      </c>
      <c r="D449" s="13" t="str">
        <f>vlookup(B449,Vert_Mapper!$A$2:$C$567,3,0)</f>
        <v>Real Estate Technology</v>
      </c>
      <c r="E449" s="13" t="s">
        <v>26</v>
      </c>
      <c r="F449" s="13" t="s">
        <v>18</v>
      </c>
      <c r="G449" s="13" t="str">
        <f t="shared" si="1"/>
        <v>GROWTH PHASE</v>
      </c>
      <c r="H449" s="13" t="s">
        <v>24</v>
      </c>
      <c r="I449" s="16">
        <f>IFERROR(__xludf.DUMMYFUNCTION("ROUND(
  MAX(
    MIN(
      (
        (VALUE(INDEX(SPLIT(K449,""-""),1)) + VALUE(INDEX(SPLIT(K449,""-""),2))) / 2
      ) *
      IFS(
        L449&gt;0.4, 1.6,
        L449&gt;0.1, 1.3,
        L449&gt;=-0.05, 1,
        L449&gt;=-0.2, 0.85,
        TRUE, 0.7
     "&amp;" ),
      VALUE(INDEX(SPLIT(K449,""-""),2))
    ),
    VALUE(INDEX(SPLIT(K449,""-""),1))
  )
)"),31.0)</f>
        <v>31</v>
      </c>
      <c r="J449" s="17">
        <f>I449*(VLOOKUP(C449,'Rev_Mapping Table'!$A$1:$C$12,3,0))</f>
        <v>14260000</v>
      </c>
      <c r="K449" s="16" t="s">
        <v>25</v>
      </c>
      <c r="L449" s="18">
        <v>0.04</v>
      </c>
      <c r="M449" s="19" t="str">
        <f>VLOOKUP(B449,Master_Mapper!$A$2:$C$628,3,0)</f>
        <v>Vibora Capital</v>
      </c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</row>
    <row r="450">
      <c r="A450" s="21" t="b">
        <v>0</v>
      </c>
      <c r="B450" s="31" t="s">
        <v>735</v>
      </c>
      <c r="C450" s="21" t="str">
        <f>vlookup(B450,Vert_Mapper!$A$2:$C$567,2,0)</f>
        <v>Real Estate</v>
      </c>
      <c r="D450" s="21" t="str">
        <f>vlookup(B450,Vert_Mapper!$A$2:$C$567,3,0)</f>
        <v>Hospitality &amp; Resorts</v>
      </c>
      <c r="E450" s="21" t="s">
        <v>26</v>
      </c>
      <c r="F450" s="21" t="s">
        <v>18</v>
      </c>
      <c r="G450" s="21" t="str">
        <f t="shared" si="1"/>
        <v>HYPERGROWTH</v>
      </c>
      <c r="H450" s="21" t="s">
        <v>433</v>
      </c>
      <c r="I450" s="24" t="str">
        <f>IFERROR(__xludf.DUMMYFUNCTION("ROUND(
  MAX(
    MIN(
      (
        (VALUE(INDEX(SPLIT(K450,""-""),1)) + VALUE(INDEX(SPLIT(K450,""-""),2))) / 2
      ) *
      IFS(
        L450&gt;0.4, 1.6,
        L450&gt;0.1, 1.3,
        L450&gt;=-0.05, 1,
        L450&gt;=-0.2, 0.85,
        TRUE, 0.7
     "&amp;" ),
      VALUE(INDEX(SPLIT(K450,""-""),2))
    ),
    VALUE(INDEX(SPLIT(K450,""-""),1))
  )
)"),"#VALUE!")</f>
        <v>#VALUE!</v>
      </c>
      <c r="J450" s="25" t="str">
        <f>I450*(VLOOKUP(C450,'Rev_Mapping Table'!$A$1:$C$12,3,0))</f>
        <v>#VALUE!</v>
      </c>
      <c r="K450" s="35" t="s">
        <v>433</v>
      </c>
      <c r="L450" s="35" t="s">
        <v>433</v>
      </c>
      <c r="M450" s="27" t="str">
        <f>VLOOKUP(B450,Master_Mapper!$A$2:$C$628,3,0)</f>
        <v>South Street Partners (Charlotte)</v>
      </c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</row>
    <row r="451">
      <c r="A451" s="13" t="b">
        <v>0</v>
      </c>
      <c r="B451" s="14" t="s">
        <v>736</v>
      </c>
      <c r="C451" s="13" t="str">
        <f>vlookup(B451,Vert_Mapper!$A$2:$C$567,2,0)</f>
        <v>Healthcare</v>
      </c>
      <c r="D451" s="13" t="str">
        <f>vlookup(B451,Vert_Mapper!$A$2:$C$567,3,0)</f>
        <v>Biotechnology &amp; Pharmaceuticals</v>
      </c>
      <c r="E451" s="13" t="s">
        <v>26</v>
      </c>
      <c r="F451" s="13" t="s">
        <v>18</v>
      </c>
      <c r="G451" s="13" t="str">
        <f t="shared" si="1"/>
        <v>DECLINING</v>
      </c>
      <c r="H451" s="13" t="s">
        <v>269</v>
      </c>
      <c r="I451" s="16">
        <f>IFERROR(__xludf.DUMMYFUNCTION("ROUND(
  MAX(
    MIN(
      (
        (VALUE(INDEX(SPLIT(K451,""-""),1)) + VALUE(INDEX(SPLIT(K451,""-""),2))) / 2
      ) *
      IFS(
        L451&gt;0.4, 1.6,
        L451&gt;0.1, 1.3,
        L451&gt;=-0.05, 1,
        L451&gt;=-0.2, 0.85,
        TRUE, 0.7
     "&amp;" ),
      VALUE(INDEX(SPLIT(K451,""-""),2))
    ),
    VALUE(INDEX(SPLIT(K451,""-""),1))
  )
)"),751.0)</f>
        <v>751</v>
      </c>
      <c r="J451" s="17">
        <f>I451*(VLOOKUP(C451,'Rev_Mapping Table'!$A$1:$C$12,3,0))</f>
        <v>417556000</v>
      </c>
      <c r="K451" s="16" t="s">
        <v>54</v>
      </c>
      <c r="L451" s="18">
        <v>-0.01</v>
      </c>
      <c r="M451" s="19" t="str">
        <f>VLOOKUP(B451,Master_Mapper!$A$2:$C$628,3,0)</f>
        <v>NovaQuest Capital Mgmt</v>
      </c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</row>
    <row r="452">
      <c r="A452" s="21" t="b">
        <v>0</v>
      </c>
      <c r="B452" s="31" t="s">
        <v>737</v>
      </c>
      <c r="C452" s="21" t="str">
        <f>vlookup(B452,Vert_Mapper!$A$2:$C$567,2,0)</f>
        <v>Information Technology</v>
      </c>
      <c r="D452" s="21" t="str">
        <f>vlookup(B452,Vert_Mapper!$A$2:$C$567,3,0)</f>
        <v>Legal Technology</v>
      </c>
      <c r="E452" s="21" t="s">
        <v>26</v>
      </c>
      <c r="F452" s="21" t="s">
        <v>18</v>
      </c>
      <c r="G452" s="21" t="str">
        <f t="shared" si="1"/>
        <v>GROWTH PHASE</v>
      </c>
      <c r="H452" s="21" t="s">
        <v>155</v>
      </c>
      <c r="I452" s="24">
        <f>IFERROR(__xludf.DUMMYFUNCTION("ROUND(
  MAX(
    MIN(
      (
        (VALUE(INDEX(SPLIT(K452,""-""),1)) + VALUE(INDEX(SPLIT(K452,""-""),2))) / 2
      ) *
      IFS(
        L452&gt;0.4, 1.6,
        L452&gt;0.1, 1.3,
        L452&gt;=-0.05, 1,
        L452&gt;=-0.2, 0.85,
        TRUE, 0.7
     "&amp;" ),
      VALUE(INDEX(SPLIT(K452,""-""),2))
    ),
    VALUE(INDEX(SPLIT(K452,""-""),1))
  )
)"),751.0)</f>
        <v>751</v>
      </c>
      <c r="J452" s="25">
        <f>I452*(VLOOKUP(C452,'Rev_Mapping Table'!$A$1:$C$12,3,0))</f>
        <v>423564000</v>
      </c>
      <c r="K452" s="24" t="s">
        <v>54</v>
      </c>
      <c r="L452" s="26">
        <v>0.06</v>
      </c>
      <c r="M452" s="27" t="str">
        <f>VLOOKUP(B452,Master_Mapper!$A$2:$C$628,3,0)</f>
        <v>VentureSouth</v>
      </c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</row>
    <row r="453">
      <c r="A453" s="13" t="b">
        <v>0</v>
      </c>
      <c r="B453" s="14" t="s">
        <v>738</v>
      </c>
      <c r="C453" s="13" t="str">
        <f>vlookup(B453,Vert_Mapper!$A$2:$C$567,2,0)</f>
        <v>Consumer Staples</v>
      </c>
      <c r="D453" s="13" t="str">
        <f>vlookup(B453,Vert_Mapper!$A$2:$C$567,3,0)</f>
        <v>Food &amp; Beverage Manufacturing</v>
      </c>
      <c r="E453" s="13" t="s">
        <v>26</v>
      </c>
      <c r="F453" s="13" t="s">
        <v>18</v>
      </c>
      <c r="G453" s="13" t="str">
        <f t="shared" si="1"/>
        <v>GROWTH PHASE</v>
      </c>
      <c r="H453" s="13" t="s">
        <v>134</v>
      </c>
      <c r="I453" s="16">
        <f>IFERROR(__xludf.DUMMYFUNCTION("ROUND(
  MAX(
    MIN(
      (
        (VALUE(INDEX(SPLIT(K453,""-""),1)) + VALUE(INDEX(SPLIT(K453,""-""),2))) / 2
      ) *
      IFS(
        L453&gt;0.4, 1.6,
        L453&gt;0.1, 1.3,
        L453&gt;=-0.05, 1,
        L453&gt;=-0.2, 0.85,
        TRUE, 0.7
     "&amp;" ),
      VALUE(INDEX(SPLIT(K453,""-""),2))
    ),
    VALUE(INDEX(SPLIT(K453,""-""),1))
  )
)"),163.0)</f>
        <v>163</v>
      </c>
      <c r="J453" s="17">
        <f>I453*(VLOOKUP(C453,'Rev_Mapping Table'!$A$1:$C$12,3,0))</f>
        <v>90628000</v>
      </c>
      <c r="K453" s="16" t="s">
        <v>32</v>
      </c>
      <c r="L453" s="18">
        <v>0.12</v>
      </c>
      <c r="M453" s="19" t="str">
        <f>VLOOKUP(B453,Master_Mapper!$A$2:$C$628,3,0)</f>
        <v>Cerity Partners</v>
      </c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</row>
    <row r="454">
      <c r="A454" s="21" t="b">
        <v>0</v>
      </c>
      <c r="B454" s="31" t="s">
        <v>739</v>
      </c>
      <c r="C454" s="21" t="str">
        <f>vlookup(B454,Vert_Mapper!$A$2:$C$567,2,0)</f>
        <v>Healthcare</v>
      </c>
      <c r="D454" s="21" t="str">
        <f>vlookup(B454,Vert_Mapper!$A$2:$C$567,3,0)</f>
        <v>Healthcare Services</v>
      </c>
      <c r="E454" s="21" t="s">
        <v>26</v>
      </c>
      <c r="F454" s="21" t="s">
        <v>18</v>
      </c>
      <c r="G454" s="21" t="str">
        <f t="shared" si="1"/>
        <v>GROWTH PHASE</v>
      </c>
      <c r="H454" s="21" t="s">
        <v>740</v>
      </c>
      <c r="I454" s="24">
        <f>IFERROR(__xludf.DUMMYFUNCTION("ROUND(
  MAX(
    MIN(
      (
        (VALUE(INDEX(SPLIT(K454,""-""),1)) + VALUE(INDEX(SPLIT(K454,""-""),2))) / 2
      ) *
      IFS(
        L454&gt;0.4, 1.6,
        L454&gt;0.1, 1.3,
        L454&gt;=-0.05, 1,
        L454&gt;=-0.2, 0.85,
        TRUE, 0.7
     "&amp;" ),
      VALUE(INDEX(SPLIT(K454,""-""),2))
    ),
    VALUE(INDEX(SPLIT(K454,""-""),1))
  )
)"),163.0)</f>
        <v>163</v>
      </c>
      <c r="J454" s="25">
        <f>I454*(VLOOKUP(C454,'Rev_Mapping Table'!$A$1:$C$12,3,0))</f>
        <v>90628000</v>
      </c>
      <c r="K454" s="24" t="s">
        <v>32</v>
      </c>
      <c r="L454" s="26">
        <v>0.11</v>
      </c>
      <c r="M454" s="27" t="str">
        <f>VLOOKUP(B454,Master_Mapper!$A$2:$C$628,3,0)</f>
        <v>Investors Management Corp (IMC)</v>
      </c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</row>
    <row r="455">
      <c r="A455" s="13" t="b">
        <v>0</v>
      </c>
      <c r="B455" s="14" t="s">
        <v>741</v>
      </c>
      <c r="C455" s="13" t="str">
        <f>vlookup(B455,Vert_Mapper!$A$2:$C$567,2,0)</f>
        <v>Financials</v>
      </c>
      <c r="D455" s="13" t="str">
        <f>vlookup(B455,Vert_Mapper!$A$2:$C$567,3,0)</f>
        <v>Financial Technology &amp; Investment Services</v>
      </c>
      <c r="E455" s="13" t="s">
        <v>26</v>
      </c>
      <c r="F455" s="13" t="s">
        <v>18</v>
      </c>
      <c r="G455" s="13" t="str">
        <f t="shared" si="1"/>
        <v>GROWTH PHASE</v>
      </c>
      <c r="H455" s="13" t="s">
        <v>24</v>
      </c>
      <c r="I455" s="16">
        <f>IFERROR(__xludf.DUMMYFUNCTION("ROUND(
  MAX(
    MIN(
      (
        (VALUE(INDEX(SPLIT(K455,""-""),1)) + VALUE(INDEX(SPLIT(K455,""-""),2))) / 2
      ) *
      IFS(
        L455&gt;0.4, 1.6,
        L455&gt;0.1, 1.3,
        L455&gt;=-0.05, 1,
        L455&gt;=-0.2, 0.85,
        TRUE, 0.7
     "&amp;" ),
      VALUE(INDEX(SPLIT(K455,""-""),2))
    ),
    VALUE(INDEX(SPLIT(K455,""-""),1))
  )
)"),751.0)</f>
        <v>751</v>
      </c>
      <c r="J455" s="17">
        <f>I455*(VLOOKUP(C455,'Rev_Mapping Table'!$A$1:$C$12,3,0))</f>
        <v>679655000</v>
      </c>
      <c r="K455" s="16" t="s">
        <v>54</v>
      </c>
      <c r="L455" s="18">
        <v>0.06</v>
      </c>
      <c r="M455" s="19" t="str">
        <f>VLOOKUP(B455,Master_Mapper!$A$2:$C$628,3,0)</f>
        <v>Vibora Capital</v>
      </c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</row>
    <row r="456">
      <c r="A456" s="21" t="b">
        <v>0</v>
      </c>
      <c r="B456" s="31" t="s">
        <v>742</v>
      </c>
      <c r="C456" s="21" t="str">
        <f>vlookup(B456,Vert_Mapper!$A$2:$C$567,2,0)</f>
        <v>Industrials</v>
      </c>
      <c r="D456" s="21" t="str">
        <f>vlookup(B456,Vert_Mapper!$A$2:$C$567,3,0)</f>
        <v>Transportation &amp; Logistics</v>
      </c>
      <c r="E456" s="21" t="s">
        <v>26</v>
      </c>
      <c r="F456" s="21" t="s">
        <v>18</v>
      </c>
      <c r="G456" s="21" t="str">
        <f t="shared" si="1"/>
        <v>FLAT TO NEUTRAL</v>
      </c>
      <c r="H456" s="21" t="s">
        <v>280</v>
      </c>
      <c r="I456" s="24">
        <f>IFERROR(__xludf.DUMMYFUNCTION("ROUND(
  MAX(
    MIN(
      (
        (VALUE(INDEX(SPLIT(K456,""-""),1)) + VALUE(INDEX(SPLIT(K456,""-""),2))) / 2
      ) *
      IFS(
        L456&gt;0.4, 1.6,
        L456&gt;0.1, 1.3,
        L456&gt;=-0.05, 1,
        L456&gt;=-0.2, 0.85,
        TRUE, 0.7
     "&amp;" ),
      VALUE(INDEX(SPLIT(K456,""-""),2))
    ),
    VALUE(INDEX(SPLIT(K456,""-""),1))
  )
)"),6.0)</f>
        <v>6</v>
      </c>
      <c r="J456" s="25">
        <f>I456*(VLOOKUP(C456,'Rev_Mapping Table'!$A$1:$C$12,3,0))</f>
        <v>2958000</v>
      </c>
      <c r="K456" s="32">
        <v>45698.0</v>
      </c>
      <c r="L456" s="26">
        <v>0.0</v>
      </c>
      <c r="M456" s="27" t="str">
        <f>VLOOKUP(B456,Master_Mapper!$A$2:$C$628,3,0)</f>
        <v>S23 Holdings</v>
      </c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</row>
    <row r="457">
      <c r="A457" s="13" t="b">
        <v>0</v>
      </c>
      <c r="B457" s="14" t="s">
        <v>743</v>
      </c>
      <c r="C457" s="13" t="str">
        <f>vlookup(B457,Vert_Mapper!$A$2:$C$567,2,0)</f>
        <v>Materials</v>
      </c>
      <c r="D457" s="13" t="str">
        <f>vlookup(B457,Vert_Mapper!$A$2:$C$567,3,0)</f>
        <v>Environmental &amp; Sustainability</v>
      </c>
      <c r="E457" s="13" t="s">
        <v>26</v>
      </c>
      <c r="F457" s="13" t="s">
        <v>18</v>
      </c>
      <c r="G457" s="13" t="str">
        <f t="shared" si="1"/>
        <v>HYPERGROWTH</v>
      </c>
      <c r="H457" s="13" t="s">
        <v>131</v>
      </c>
      <c r="I457" s="16" t="str">
        <f>IFERROR(__xludf.DUMMYFUNCTION("ROUND(
  MAX(
    MIN(
      (
        (VALUE(INDEX(SPLIT(K457,""-""),1)) + VALUE(INDEX(SPLIT(K457,""-""),2))) / 2
      ) *
      IFS(
        L457&gt;0.4, 1.6,
        L457&gt;0.1, 1.3,
        L457&gt;=-0.05, 1,
        L457&gt;=-0.2, 0.85,
        TRUE, 0.7
     "&amp;" ),
      VALUE(INDEX(SPLIT(K457,""-""),2))
    ),
    VALUE(INDEX(SPLIT(K457,""-""),1))
  )
)"),"#VALUE!")</f>
        <v>#VALUE!</v>
      </c>
      <c r="J457" s="17" t="str">
        <f>I457*(VLOOKUP(C457,'Rev_Mapping Table'!$A$1:$C$12,3,0))</f>
        <v>#VALUE!</v>
      </c>
      <c r="K457" s="33" t="s">
        <v>131</v>
      </c>
      <c r="L457" s="33" t="s">
        <v>131</v>
      </c>
      <c r="M457" s="19" t="str">
        <f>VLOOKUP(B457,Master_Mapper!$A$2:$C$628,3,0)</f>
        <v>Cerity Partners</v>
      </c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</row>
    <row r="458">
      <c r="A458" s="21" t="b">
        <v>0</v>
      </c>
      <c r="B458" s="31" t="s">
        <v>744</v>
      </c>
      <c r="C458" s="21" t="str">
        <f>vlookup(B458,Vert_Mapper!$A$2:$C$567,2,0)</f>
        <v>Real Estate</v>
      </c>
      <c r="D458" s="21" t="str">
        <f>vlookup(B458,Vert_Mapper!$A$2:$C$567,3,0)</f>
        <v>Real Estate Technology</v>
      </c>
      <c r="E458" s="21" t="s">
        <v>26</v>
      </c>
      <c r="F458" s="21" t="s">
        <v>18</v>
      </c>
      <c r="G458" s="21" t="str">
        <f t="shared" si="1"/>
        <v>DECLINING</v>
      </c>
      <c r="H458" s="21" t="s">
        <v>317</v>
      </c>
      <c r="I458" s="24">
        <f>IFERROR(__xludf.DUMMYFUNCTION("ROUND(
  MAX(
    MIN(
      (
        (VALUE(INDEX(SPLIT(K458,""-""),1)) + VALUE(INDEX(SPLIT(K458,""-""),2))) / 2
      ) *
      IFS(
        L458&gt;0.4, 1.6,
        L458&gt;0.1, 1.3,
        L458&gt;=-0.05, 1,
        L458&gt;=-0.2, 0.85,
        TRUE, 0.7
     "&amp;" ),
      VALUE(INDEX(SPLIT(K458,""-""),2))
    ),
    VALUE(INDEX(SPLIT(K458,""-""),1))
  )
)"),126.0)</f>
        <v>126</v>
      </c>
      <c r="J458" s="25">
        <f>I458*(VLOOKUP(C458,'Rev_Mapping Table'!$A$1:$C$12,3,0))</f>
        <v>57960000</v>
      </c>
      <c r="K458" s="24" t="s">
        <v>32</v>
      </c>
      <c r="L458" s="26">
        <v>-0.05</v>
      </c>
      <c r="M458" s="27" t="str">
        <f>VLOOKUP(B458,Master_Mapper!$A$2:$C$628,3,0)</f>
        <v>Cerity Partners</v>
      </c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</row>
    <row r="459">
      <c r="A459" s="13" t="b">
        <v>0</v>
      </c>
      <c r="B459" s="14" t="s">
        <v>745</v>
      </c>
      <c r="C459" s="13" t="str">
        <f>vlookup(B459,Vert_Mapper!$A$2:$C$567,2,0)</f>
        <v>Industrials</v>
      </c>
      <c r="D459" s="13" t="str">
        <f>vlookup(B459,Vert_Mapper!$A$2:$C$567,3,0)</f>
        <v>Home Services / Construction / Industrial Services</v>
      </c>
      <c r="E459" s="13" t="s">
        <v>516</v>
      </c>
      <c r="F459" s="13" t="s">
        <v>18</v>
      </c>
      <c r="G459" s="13" t="str">
        <f t="shared" si="1"/>
        <v>ACCELERATED GROWTH</v>
      </c>
      <c r="H459" s="13" t="s">
        <v>746</v>
      </c>
      <c r="I459" s="16">
        <f>IFERROR(__xludf.DUMMYFUNCTION("ROUND(
  MAX(
    MIN(
      (
        (VALUE(INDEX(SPLIT(K459,""-""),1)) + VALUE(INDEX(SPLIT(K459,""-""),2))) / 2
      ) *
      IFS(
        L459&gt;0.4, 1.6,
        L459&gt;0.1, 1.3,
        L459&gt;=-0.05, 1,
        L459&gt;=-0.2, 0.85,
        TRUE, 0.7
     "&amp;" ),
      VALUE(INDEX(SPLIT(K459,""-""),2))
    ),
    VALUE(INDEX(SPLIT(K459,""-""),1))
  )
)"),163.0)</f>
        <v>163</v>
      </c>
      <c r="J459" s="17">
        <f>I459*(VLOOKUP(C459,'Rev_Mapping Table'!$A$1:$C$12,3,0))</f>
        <v>80359000</v>
      </c>
      <c r="K459" s="16" t="s">
        <v>32</v>
      </c>
      <c r="L459" s="18">
        <v>0.35</v>
      </c>
      <c r="M459" s="19" t="str">
        <f>VLOOKUP(B459,Master_Mapper!$A$2:$C$628,3,0)</f>
        <v>Route 2 Capital Partners</v>
      </c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</row>
    <row r="460">
      <c r="A460" s="21" t="b">
        <v>0</v>
      </c>
      <c r="B460" s="31" t="s">
        <v>747</v>
      </c>
      <c r="C460" s="21" t="str">
        <f>vlookup(B460,Vert_Mapper!$A$2:$C$567,2,0)</f>
        <v>Healthcare</v>
      </c>
      <c r="D460" s="21" t="str">
        <f>vlookup(B460,Vert_Mapper!$A$2:$C$567,3,0)</f>
        <v>Biotechnology &amp; Pharmaceuticals</v>
      </c>
      <c r="E460" s="21" t="s">
        <v>26</v>
      </c>
      <c r="F460" s="21" t="s">
        <v>18</v>
      </c>
      <c r="G460" s="21" t="str">
        <f t="shared" si="1"/>
        <v>DECLINING</v>
      </c>
      <c r="H460" s="21" t="s">
        <v>83</v>
      </c>
      <c r="I460" s="24">
        <f>IFERROR(__xludf.DUMMYFUNCTION("ROUND(
  MAX(
    MIN(
      (
        (VALUE(INDEX(SPLIT(K460,""-""),1)) + VALUE(INDEX(SPLIT(K460,""-""),2))) / 2
      ) *
      IFS(
        L460&gt;0.4, 1.6,
        L460&gt;0.1, 1.3,
        L460&gt;=-0.05, 1,
        L460&gt;=-0.2, 0.85,
        TRUE, 0.7
     "&amp;" ),
      VALUE(INDEX(SPLIT(K460,""-""),2))
    ),
    VALUE(INDEX(SPLIT(K460,""-""),1))
  )
)"),107.0)</f>
        <v>107</v>
      </c>
      <c r="J460" s="25">
        <f>I460*(VLOOKUP(C460,'Rev_Mapping Table'!$A$1:$C$12,3,0))</f>
        <v>59492000</v>
      </c>
      <c r="K460" s="24" t="s">
        <v>32</v>
      </c>
      <c r="L460" s="26">
        <v>-0.07</v>
      </c>
      <c r="M460" s="27" t="str">
        <f>VLOOKUP(B460,Master_Mapper!$A$2:$C$628,3,0)</f>
        <v>NovaQuest Capital Mgmt</v>
      </c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</row>
    <row r="461">
      <c r="A461" s="13" t="b">
        <v>0</v>
      </c>
      <c r="B461" s="14" t="s">
        <v>748</v>
      </c>
      <c r="C461" s="13" t="str">
        <f>vlookup(B461,Vert_Mapper!$A$2:$C$567,2,0)</f>
        <v>Real Estate</v>
      </c>
      <c r="D461" s="13" t="str">
        <f>vlookup(B461,Vert_Mapper!$A$2:$C$567,3,0)</f>
        <v>Real Estate Technology</v>
      </c>
      <c r="E461" s="13" t="s">
        <v>26</v>
      </c>
      <c r="F461" s="13" t="s">
        <v>18</v>
      </c>
      <c r="G461" s="13" t="str">
        <f t="shared" si="1"/>
        <v>FLAT TO NEUTRAL</v>
      </c>
      <c r="H461" s="13" t="s">
        <v>399</v>
      </c>
      <c r="I461" s="16">
        <f>IFERROR(__xludf.DUMMYFUNCTION("ROUND(
  MAX(
    MIN(
      (
        (VALUE(INDEX(SPLIT(K461,""-""),1)) + VALUE(INDEX(SPLIT(K461,""-""),2))) / 2
      ) *
      IFS(
        L461&gt;0.4, 1.6,
        L461&gt;0.1, 1.3,
        L461&gt;=-0.05, 1,
        L461&gt;=-0.2, 0.85,
        TRUE, 0.7
     "&amp;" ),
      VALUE(INDEX(SPLIT(K461,""-""),2))
    ),
    VALUE(INDEX(SPLIT(K461,""-""),1))
  )
)"),751.0)</f>
        <v>751</v>
      </c>
      <c r="J461" s="17">
        <f>I461*(VLOOKUP(C461,'Rev_Mapping Table'!$A$1:$C$12,3,0))</f>
        <v>345460000</v>
      </c>
      <c r="K461" s="16" t="s">
        <v>54</v>
      </c>
      <c r="L461" s="18">
        <v>0.0</v>
      </c>
      <c r="M461" s="19" t="str">
        <f>VLOOKUP(B461,Master_Mapper!$A$2:$C$628,3,0)</f>
        <v>Cerity Partners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</row>
    <row r="462">
      <c r="A462" s="21" t="b">
        <v>0</v>
      </c>
      <c r="B462" s="31" t="s">
        <v>749</v>
      </c>
      <c r="C462" s="21" t="str">
        <f>vlookup(B462,Vert_Mapper!$A$2:$C$567,2,0)</f>
        <v>Information Technology</v>
      </c>
      <c r="D462" s="21" t="str">
        <f>vlookup(B462,Vert_Mapper!$A$2:$C$567,3,0)</f>
        <v>Artificial Intelligence &amp; Machine Learning</v>
      </c>
      <c r="E462" s="21" t="s">
        <v>26</v>
      </c>
      <c r="F462" s="21" t="s">
        <v>18</v>
      </c>
      <c r="G462" s="21" t="str">
        <f t="shared" si="1"/>
        <v>ACCELERATED GROWTH</v>
      </c>
      <c r="H462" s="21" t="s">
        <v>83</v>
      </c>
      <c r="I462" s="24">
        <f>IFERROR(__xludf.DUMMYFUNCTION("ROUND(
  MAX(
    MIN(
      (
        (VALUE(INDEX(SPLIT(K462,""-""),1)) + VALUE(INDEX(SPLIT(K462,""-""),2))) / 2
      ) *
      IFS(
        L462&gt;0.4, 1.6,
        L462&gt;0.1, 1.3,
        L462&gt;=-0.05, 1,
        L462&gt;=-0.2, 0.85,
        TRUE, 0.7
     "&amp;" ),
      VALUE(INDEX(SPLIT(K462,""-""),2))
    ),
    VALUE(INDEX(SPLIT(K462,""-""),1))
  )
)"),163.0)</f>
        <v>163</v>
      </c>
      <c r="J462" s="25">
        <f>I462*(VLOOKUP(C462,'Rev_Mapping Table'!$A$1:$C$12,3,0))</f>
        <v>91932000</v>
      </c>
      <c r="K462" s="24" t="s">
        <v>32</v>
      </c>
      <c r="L462" s="26">
        <v>0.33</v>
      </c>
      <c r="M462" s="27" t="str">
        <f>VLOOKUP(B462,Master_Mapper!$A$2:$C$628,3,0)</f>
        <v>Cerity Partners</v>
      </c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</row>
    <row r="463">
      <c r="A463" s="13" t="b">
        <v>0</v>
      </c>
      <c r="B463" s="14" t="s">
        <v>750</v>
      </c>
      <c r="C463" s="13" t="str">
        <f>vlookup(B463,Vert_Mapper!$A$2:$C$567,2,0)</f>
        <v>Information Technology</v>
      </c>
      <c r="D463" s="13" t="str">
        <f>vlookup(B463,Vert_Mapper!$A$2:$C$567,3,0)</f>
        <v>Cloud &amp; Infrastructure</v>
      </c>
      <c r="E463" s="13" t="s">
        <v>26</v>
      </c>
      <c r="F463" s="13" t="s">
        <v>18</v>
      </c>
      <c r="G463" s="13" t="str">
        <f t="shared" si="1"/>
        <v>GROWTH PHASE</v>
      </c>
      <c r="H463" s="13" t="s">
        <v>146</v>
      </c>
      <c r="I463" s="16">
        <f>IFERROR(__xludf.DUMMYFUNCTION("ROUND(
  MAX(
    MIN(
      (
        (VALUE(INDEX(SPLIT(K463,""-""),1)) + VALUE(INDEX(SPLIT(K463,""-""),2))) / 2
      ) *
      IFS(
        L463&gt;0.4, 1.6,
        L463&gt;0.1, 1.3,
        L463&gt;=-0.05, 1,
        L463&gt;=-0.2, 0.85,
        TRUE, 0.7
     "&amp;" ),
      VALUE(INDEX(SPLIT(K463,""-""),2))
    ),
    VALUE(INDEX(SPLIT(K463,""-""),1))
  )
)"),3901.0)</f>
        <v>3901</v>
      </c>
      <c r="J463" s="17">
        <f>I463*(VLOOKUP(C463,'Rev_Mapping Table'!$A$1:$C$12,3,0))</f>
        <v>2200164000</v>
      </c>
      <c r="K463" s="16" t="s">
        <v>96</v>
      </c>
      <c r="L463" s="18">
        <v>0.16</v>
      </c>
      <c r="M463" s="19" t="str">
        <f>VLOOKUP(B463,Master_Mapper!$A$2:$C$628,3,0)</f>
        <v>Vibora Capital</v>
      </c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</row>
    <row r="464">
      <c r="A464" s="21" t="b">
        <v>0</v>
      </c>
      <c r="B464" s="31" t="s">
        <v>751</v>
      </c>
      <c r="C464" s="21" t="str">
        <f>vlookup(B464,Vert_Mapper!$A$2:$C$567,2,0)</f>
        <v>Consumer Discretionary</v>
      </c>
      <c r="D464" s="21" t="str">
        <f>vlookup(B464,Vert_Mapper!$A$2:$C$567,3,0)</f>
        <v>Consumer Products</v>
      </c>
      <c r="E464" s="21" t="s">
        <v>26</v>
      </c>
      <c r="F464" s="21" t="s">
        <v>18</v>
      </c>
      <c r="G464" s="21" t="str">
        <f t="shared" si="1"/>
        <v>FLAT TO NEUTRAL</v>
      </c>
      <c r="H464" s="21" t="s">
        <v>752</v>
      </c>
      <c r="I464" s="24">
        <f>IFERROR(__xludf.DUMMYFUNCTION("ROUND(
  MAX(
    MIN(
      (
        (VALUE(INDEX(SPLIT(K464,""-""),1)) + VALUE(INDEX(SPLIT(K464,""-""),2))) / 2
      ) *
      IFS(
        L464&gt;0.4, 1.6,
        L464&gt;0.1, 1.3,
        L464&gt;=-0.05, 1,
        L464&gt;=-0.2, 0.85,
        TRUE, 0.7
     "&amp;" ),
      VALUE(INDEX(SPLIT(K464,""-""),2))
    ),
    VALUE(INDEX(SPLIT(K464,""-""),1))
  )
)"),31.0)</f>
        <v>31</v>
      </c>
      <c r="J464" s="25">
        <f>I464*(VLOOKUP(C464,'Rev_Mapping Table'!$A$1:$C$12,3,0))</f>
        <v>15872000</v>
      </c>
      <c r="K464" s="24" t="s">
        <v>25</v>
      </c>
      <c r="L464" s="26">
        <v>0.03</v>
      </c>
      <c r="M464" s="27" t="str">
        <f>VLOOKUP(B464,Master_Mapper!$A$2:$C$628,3,0)</f>
        <v>Summit Park</v>
      </c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</row>
    <row r="465">
      <c r="A465" s="13" t="b">
        <v>0</v>
      </c>
      <c r="B465" s="14" t="s">
        <v>753</v>
      </c>
      <c r="C465" s="13" t="str">
        <f>vlookup(B465,Vert_Mapper!$A$2:$C$567,2,0)</f>
        <v>Industrials</v>
      </c>
      <c r="D465" s="13" t="str">
        <f>vlookup(B465,Vert_Mapper!$A$2:$C$567,3,0)</f>
        <v>Industrial Equipment &amp; Services</v>
      </c>
      <c r="E465" s="13" t="s">
        <v>26</v>
      </c>
      <c r="F465" s="13" t="s">
        <v>18</v>
      </c>
      <c r="G465" s="13" t="str">
        <f t="shared" si="1"/>
        <v>FLAT TO NEUTRAL</v>
      </c>
      <c r="H465" s="13" t="s">
        <v>236</v>
      </c>
      <c r="I465" s="16">
        <f>IFERROR(__xludf.DUMMYFUNCTION("ROUND(
  MAX(
    MIN(
      (
        (VALUE(INDEX(SPLIT(K465,""-""),1)) + VALUE(INDEX(SPLIT(K465,""-""),2))) / 2
      ) *
      IFS(
        L465&gt;0.4, 1.6,
        L465&gt;0.1, 1.3,
        L465&gt;=-0.05, 1,
        L465&gt;=-0.2, 0.85,
        TRUE, 0.7
     "&amp;" ),
      VALUE(INDEX(SPLIT(K465,""-""),2))
    ),
    VALUE(INDEX(SPLIT(K465,""-""),1))
  )
)"),126.0)</f>
        <v>126</v>
      </c>
      <c r="J465" s="17">
        <f>I465*(VLOOKUP(C465,'Rev_Mapping Table'!$A$1:$C$12,3,0))</f>
        <v>62118000</v>
      </c>
      <c r="K465" s="16" t="s">
        <v>32</v>
      </c>
      <c r="L465" s="18">
        <v>0.0</v>
      </c>
      <c r="M465" s="19" t="str">
        <f>VLOOKUP(B465,Master_Mapper!$A$2:$C$628,3,0)</f>
        <v>WJ Partners</v>
      </c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</row>
    <row r="466">
      <c r="A466" s="21" t="b">
        <v>0</v>
      </c>
      <c r="B466" s="31" t="s">
        <v>754</v>
      </c>
      <c r="C466" s="21" t="str">
        <f>vlookup(B466,Vert_Mapper!$A$2:$C$567,2,0)</f>
        <v>Industrials</v>
      </c>
      <c r="D466" s="21" t="str">
        <f>vlookup(B466,Vert_Mapper!$A$2:$C$567,3,0)</f>
        <v>Manufacturing &amp; Processing</v>
      </c>
      <c r="E466" s="21" t="s">
        <v>138</v>
      </c>
      <c r="F466" s="21" t="s">
        <v>18</v>
      </c>
      <c r="G466" s="21" t="str">
        <f t="shared" si="1"/>
        <v>DECLINING</v>
      </c>
      <c r="H466" s="21" t="s">
        <v>755</v>
      </c>
      <c r="I466" s="24">
        <f>IFERROR(__xludf.DUMMYFUNCTION("ROUND(
  MAX(
    MIN(
      (
        (VALUE(INDEX(SPLIT(K466,""-""),1)) + VALUE(INDEX(SPLIT(K466,""-""),2))) / 2
      ) *
      IFS(
        L466&gt;0.4, 1.6,
        L466&gt;0.1, 1.3,
        L466&gt;=-0.05, 1,
        L466&gt;=-0.2, 0.85,
        TRUE, 0.7
     "&amp;" ),
      VALUE(INDEX(SPLIT(K466,""-""),2))
    ),
    VALUE(INDEX(SPLIT(K466,""-""),1))
  )
)"),126.0)</f>
        <v>126</v>
      </c>
      <c r="J466" s="25">
        <f>I466*(VLOOKUP(C466,'Rev_Mapping Table'!$A$1:$C$12,3,0))</f>
        <v>62118000</v>
      </c>
      <c r="K466" s="24" t="s">
        <v>32</v>
      </c>
      <c r="L466" s="26">
        <v>-0.02</v>
      </c>
      <c r="M466" s="27" t="str">
        <f>VLOOKUP(B466,Master_Mapper!$A$2:$C$628,3,0)</f>
        <v>Blue Point Capital Partners</v>
      </c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</row>
    <row r="467">
      <c r="A467" s="13" t="b">
        <v>0</v>
      </c>
      <c r="B467" s="14" t="s">
        <v>756</v>
      </c>
      <c r="C467" s="13" t="str">
        <f>vlookup(B467,Vert_Mapper!$A$2:$C$567,2,0)</f>
        <v>Real Estate</v>
      </c>
      <c r="D467" s="13" t="str">
        <f>vlookup(B467,Vert_Mapper!$A$2:$C$567,3,0)</f>
        <v>Real Estate Services</v>
      </c>
      <c r="E467" s="13" t="s">
        <v>26</v>
      </c>
      <c r="F467" s="13" t="s">
        <v>18</v>
      </c>
      <c r="G467" s="13" t="str">
        <f t="shared" si="1"/>
        <v>FLAT TO NEUTRAL</v>
      </c>
      <c r="H467" s="13" t="s">
        <v>757</v>
      </c>
      <c r="I467" s="16">
        <f>IFERROR(__xludf.DUMMYFUNCTION("ROUND(
  MAX(
    MIN(
      (
        (VALUE(INDEX(SPLIT(K467,""-""),1)) + VALUE(INDEX(SPLIT(K467,""-""),2))) / 2
      ) *
      IFS(
        L467&gt;0.4, 1.6,
        L467&gt;0.1, 1.3,
        L467&gt;=-0.05, 1,
        L467&gt;=-0.2, 0.85,
        TRUE, 0.7
     "&amp;" ),
      VALUE(INDEX(SPLIT(K467,""-""),2))
    ),
    VALUE(INDEX(SPLIT(K467,""-""),1))
  )
)"),6.0)</f>
        <v>6</v>
      </c>
      <c r="J467" s="17">
        <f>I467*(VLOOKUP(C467,'Rev_Mapping Table'!$A$1:$C$12,3,0))</f>
        <v>2760000</v>
      </c>
      <c r="K467" s="30">
        <v>45698.0</v>
      </c>
      <c r="L467" s="18">
        <v>0.0</v>
      </c>
      <c r="M467" s="19" t="str">
        <f>VLOOKUP(B467,Master_Mapper!$A$2:$C$628,3,0)</f>
        <v>Route 2 Capital Partners</v>
      </c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</row>
    <row r="468">
      <c r="A468" s="21" t="b">
        <v>0</v>
      </c>
      <c r="B468" s="31" t="s">
        <v>758</v>
      </c>
      <c r="C468" s="21" t="str">
        <f>vlookup(B468,Vert_Mapper!$A$2:$C$567,2,0)</f>
        <v>Materials</v>
      </c>
      <c r="D468" s="21" t="str">
        <f>vlookup(B468,Vert_Mapper!$A$2:$C$567,3,0)</f>
        <v>Agriculture Technology</v>
      </c>
      <c r="E468" s="21" t="s">
        <v>26</v>
      </c>
      <c r="F468" s="21" t="s">
        <v>18</v>
      </c>
      <c r="G468" s="21" t="str">
        <f t="shared" si="1"/>
        <v>FLAT TO NEUTRAL</v>
      </c>
      <c r="H468" s="21" t="s">
        <v>155</v>
      </c>
      <c r="I468" s="24">
        <f>IFERROR(__xludf.DUMMYFUNCTION("ROUND(
  MAX(
    MIN(
      (
        (VALUE(INDEX(SPLIT(K468,""-""),1)) + VALUE(INDEX(SPLIT(K468,""-""),2))) / 2
      ) *
      IFS(
        L468&gt;0.4, 1.6,
        L468&gt;0.1, 1.3,
        L468&gt;=-0.05, 1,
        L468&gt;=-0.2, 0.85,
        TRUE, 0.7
     "&amp;" ),
      VALUE(INDEX(SPLIT(K468,""-""),2))
    ),
    VALUE(INDEX(SPLIT(K468,""-""),1))
  )
)"),31.0)</f>
        <v>31</v>
      </c>
      <c r="J468" s="25">
        <f>I468*(VLOOKUP(C468,'Rev_Mapping Table'!$A$1:$C$12,3,0))</f>
        <v>15283000</v>
      </c>
      <c r="K468" s="24" t="s">
        <v>25</v>
      </c>
      <c r="L468" s="26">
        <v>0.02</v>
      </c>
      <c r="M468" s="27" t="str">
        <f>VLOOKUP(B468,Master_Mapper!$A$2:$C$628,3,0)</f>
        <v>Cerity Partners</v>
      </c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</row>
    <row r="469">
      <c r="A469" s="13" t="b">
        <v>0</v>
      </c>
      <c r="B469" s="14" t="s">
        <v>759</v>
      </c>
      <c r="C469" s="13" t="str">
        <f>vlookup(B469,Vert_Mapper!$A$2:$C$567,2,0)</f>
        <v>Information Technology</v>
      </c>
      <c r="D469" s="13" t="str">
        <f>vlookup(B469,Vert_Mapper!$A$2:$C$567,3,0)</f>
        <v>Software &amp; SaaS</v>
      </c>
      <c r="E469" s="13" t="s">
        <v>65</v>
      </c>
      <c r="F469" s="13" t="s">
        <v>30</v>
      </c>
      <c r="G469" s="13" t="str">
        <f t="shared" si="1"/>
        <v>GROWTH PHASE</v>
      </c>
      <c r="H469" s="13" t="s">
        <v>510</v>
      </c>
      <c r="I469" s="16">
        <f>IFERROR(__xludf.DUMMYFUNCTION("ROUND(
  MAX(
    MIN(
      (
        (VALUE(INDEX(SPLIT(K469,""-""),1)) + VALUE(INDEX(SPLIT(K469,""-""),2))) / 2
      ) *
      IFS(
        L469&gt;0.4, 1.6,
        L469&gt;0.1, 1.3,
        L469&gt;=-0.05, 1,
        L469&gt;=-0.2, 0.85,
        TRUE, 0.7
     "&amp;" ),
      VALUE(INDEX(SPLIT(K469,""-""),2))
    ),
    VALUE(INDEX(SPLIT(K469,""-""),1))
  )
)"),3901.0)</f>
        <v>3901</v>
      </c>
      <c r="J469" s="17">
        <f>I469*(VLOOKUP(C469,'Rev_Mapping Table'!$A$1:$C$12,3,0))</f>
        <v>2200164000</v>
      </c>
      <c r="K469" s="16" t="s">
        <v>96</v>
      </c>
      <c r="L469" s="18">
        <v>0.14</v>
      </c>
      <c r="M469" s="19" t="str">
        <f>VLOOKUP(B469,Master_Mapper!$A$2:$C$628,3,0)</f>
        <v>Falfurrias Capital Partners</v>
      </c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</row>
    <row r="470">
      <c r="A470" s="21" t="b">
        <v>0</v>
      </c>
      <c r="B470" s="31" t="s">
        <v>760</v>
      </c>
      <c r="C470" s="21" t="str">
        <f>vlookup(B470,Vert_Mapper!$A$2:$C$567,2,0)</f>
        <v>Industrials</v>
      </c>
      <c r="D470" s="21" t="str">
        <f>vlookup(B470,Vert_Mapper!$A$2:$C$567,3,0)</f>
        <v>Aerospace and Defense</v>
      </c>
      <c r="E470" s="21" t="s">
        <v>26</v>
      </c>
      <c r="F470" s="21" t="s">
        <v>18</v>
      </c>
      <c r="G470" s="21" t="str">
        <f t="shared" si="1"/>
        <v>ACCELERATED GROWTH</v>
      </c>
      <c r="H470" s="21" t="s">
        <v>24</v>
      </c>
      <c r="I470" s="24">
        <f>IFERROR(__xludf.DUMMYFUNCTION("ROUND(
  MAX(
    MIN(
      (
        (VALUE(INDEX(SPLIT(K470,""-""),1)) + VALUE(INDEX(SPLIT(K470,""-""),2))) / 2
      ) *
      IFS(
        L470&gt;0.4, 1.6,
        L470&gt;0.1, 1.3,
        L470&gt;=-0.05, 1,
        L470&gt;=-0.2, 0.85,
        TRUE, 0.7
     "&amp;" ),
      VALUE(INDEX(SPLIT(K470,""-""),2))
    ),
    VALUE(INDEX(SPLIT(K470,""-""),1))
  )
)"),10.0)</f>
        <v>10</v>
      </c>
      <c r="J470" s="25">
        <f>I470*(VLOOKUP(C470,'Rev_Mapping Table'!$A$1:$C$12,3,0))</f>
        <v>4930000</v>
      </c>
      <c r="K470" s="32">
        <v>45698.0</v>
      </c>
      <c r="L470" s="26">
        <v>0.57</v>
      </c>
      <c r="M470" s="27" t="str">
        <f>VLOOKUP(B470,Master_Mapper!$A$2:$C$628,3,0)</f>
        <v>Cape Fear Ventures</v>
      </c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</row>
    <row r="471">
      <c r="A471" s="13" t="b">
        <v>0</v>
      </c>
      <c r="B471" s="14" t="s">
        <v>761</v>
      </c>
      <c r="C471" s="13" t="str">
        <f>vlookup(B471,Vert_Mapper!$A$2:$C$567,2,0)</f>
        <v>Healthcare</v>
      </c>
      <c r="D471" s="13" t="str">
        <f>vlookup(B471,Vert_Mapper!$A$2:$C$567,3,0)</f>
        <v>Biotechnology &amp; Pharmaceuticals</v>
      </c>
      <c r="E471" s="13" t="s">
        <v>26</v>
      </c>
      <c r="F471" s="13" t="s">
        <v>18</v>
      </c>
      <c r="G471" s="13" t="str">
        <f t="shared" si="1"/>
        <v>GROWTH PHASE</v>
      </c>
      <c r="H471" s="13" t="s">
        <v>762</v>
      </c>
      <c r="I471" s="16" t="str">
        <f>IFERROR(__xludf.DUMMYFUNCTION("ROUND(
  MAX(
    MIN(
      (
        (VALUE(INDEX(SPLIT(K471,""-""),1)) + VALUE(INDEX(SPLIT(K471,""-""),2))) / 2
      ) *
      IFS(
        L471&gt;0.4, 1.6,
        L471&gt;0.1, 1.3,
        L471&gt;=-0.05, 1,
        L471&gt;=-0.2, 0.85,
        TRUE, 0.7
     "&amp;" ),
      VALUE(INDEX(SPLIT(K471,""-""),2))
    ),
    VALUE(INDEX(SPLIT(K471,""-""),1))
  )
)"),"#VALUE!")</f>
        <v>#VALUE!</v>
      </c>
      <c r="J471" s="17" t="str">
        <f>I471*(VLOOKUP(C471,'Rev_Mapping Table'!$A$1:$C$12,3,0))</f>
        <v>#VALUE!</v>
      </c>
      <c r="K471" s="16" t="s">
        <v>450</v>
      </c>
      <c r="L471" s="18">
        <v>0.09</v>
      </c>
      <c r="M471" s="19" t="str">
        <f>VLOOKUP(B471,Master_Mapper!$A$2:$C$628,3,0)</f>
        <v>NovaQuest Capital Mgmt</v>
      </c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</row>
    <row r="472">
      <c r="A472" s="21" t="b">
        <v>0</v>
      </c>
      <c r="B472" s="31" t="s">
        <v>763</v>
      </c>
      <c r="C472" s="21" t="str">
        <f>vlookup(B472,Vert_Mapper!$A$2:$C$567,2,0)</f>
        <v>Healthcare</v>
      </c>
      <c r="D472" s="21" t="str">
        <f>vlookup(B472,Vert_Mapper!$A$2:$C$567,3,0)</f>
        <v>Biotechnology &amp; Pharmaceuticals</v>
      </c>
      <c r="E472" s="21" t="s">
        <v>85</v>
      </c>
      <c r="F472" s="21" t="s">
        <v>86</v>
      </c>
      <c r="G472" s="21" t="str">
        <f t="shared" si="1"/>
        <v>FLAT TO NEUTRAL</v>
      </c>
      <c r="H472" s="21" t="s">
        <v>764</v>
      </c>
      <c r="I472" s="24">
        <f>IFERROR(__xludf.DUMMYFUNCTION("ROUND(
  MAX(
    MIN(
      (
        (VALUE(INDEX(SPLIT(K472,""-""),1)) + VALUE(INDEX(SPLIT(K472,""-""),2))) / 2
      ) *
      IFS(
        L472&gt;0.4, 1.6,
        L472&gt;0.1, 1.3,
        L472&gt;=-0.05, 1,
        L472&gt;=-0.2, 0.85,
        TRUE, 0.7
     "&amp;" ),
      VALUE(INDEX(SPLIT(K472,""-""),2))
    ),
    VALUE(INDEX(SPLIT(K472,""-""),1))
  )
)"),31.0)</f>
        <v>31</v>
      </c>
      <c r="J472" s="25">
        <f>I472*(VLOOKUP(C472,'Rev_Mapping Table'!$A$1:$C$12,3,0))</f>
        <v>17236000</v>
      </c>
      <c r="K472" s="24" t="s">
        <v>25</v>
      </c>
      <c r="L472" s="26">
        <v>0.0</v>
      </c>
      <c r="M472" s="27" t="str">
        <f>VLOOKUP(B472,Master_Mapper!$A$2:$C$628,3,0)</f>
        <v>Eshelman Ventures, LLC</v>
      </c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</row>
    <row r="473">
      <c r="A473" s="13" t="b">
        <v>0</v>
      </c>
      <c r="B473" s="14" t="s">
        <v>765</v>
      </c>
      <c r="C473" s="13" t="str">
        <f>vlookup(B473,Vert_Mapper!$A$2:$C$567,2,0)</f>
        <v>Real Estate</v>
      </c>
      <c r="D473" s="13" t="str">
        <f>vlookup(B473,Vert_Mapper!$A$2:$C$567,3,0)</f>
        <v>Hospitality &amp; Resorts</v>
      </c>
      <c r="E473" s="13" t="s">
        <v>175</v>
      </c>
      <c r="F473" s="13" t="s">
        <v>34</v>
      </c>
      <c r="G473" s="13" t="str">
        <f t="shared" si="1"/>
        <v>GROWTH PHASE</v>
      </c>
      <c r="H473" s="13" t="s">
        <v>766</v>
      </c>
      <c r="I473" s="16">
        <f>IFERROR(__xludf.DUMMYFUNCTION("ROUND(
  MAX(
    MIN(
      (
        (VALUE(INDEX(SPLIT(K473,""-""),1)) + VALUE(INDEX(SPLIT(K473,""-""),2))) / 2
      ) *
      IFS(
        L473&gt;0.4, 1.6,
        L473&gt;0.1, 1.3,
        L473&gt;=-0.05, 1,
        L473&gt;=-0.2, 0.85,
        TRUE, 0.7
     "&amp;" ),
      VALUE(INDEX(SPLIT(K473,""-""),2))
    ),
    VALUE(INDEX(SPLIT(K473,""-""),1))
  )
)"),751.0)</f>
        <v>751</v>
      </c>
      <c r="J473" s="17">
        <f>I473*(VLOOKUP(C473,'Rev_Mapping Table'!$A$1:$C$12,3,0))</f>
        <v>345460000</v>
      </c>
      <c r="K473" s="16" t="s">
        <v>54</v>
      </c>
      <c r="L473" s="18">
        <v>0.09</v>
      </c>
      <c r="M473" s="19" t="str">
        <f>VLOOKUP(B473,Master_Mapper!$A$2:$C$628,3,0)</f>
        <v>South Street Partners (Charlotte)</v>
      </c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</row>
    <row r="474">
      <c r="A474" s="21" t="b">
        <v>0</v>
      </c>
      <c r="B474" s="31" t="s">
        <v>767</v>
      </c>
      <c r="C474" s="21" t="str">
        <f>vlookup(B474,Vert_Mapper!$A$2:$C$567,2,0)</f>
        <v>Information Technology</v>
      </c>
      <c r="D474" s="21" t="str">
        <f>vlookup(B474,Vert_Mapper!$A$2:$C$567,3,0)</f>
        <v>IT Services &amp; Consulting</v>
      </c>
      <c r="E474" s="21" t="s">
        <v>26</v>
      </c>
      <c r="F474" s="21" t="s">
        <v>18</v>
      </c>
      <c r="G474" s="21" t="str">
        <f t="shared" si="1"/>
        <v>DECLINING</v>
      </c>
      <c r="H474" s="21" t="s">
        <v>665</v>
      </c>
      <c r="I474" s="24">
        <f>IFERROR(__xludf.DUMMYFUNCTION("ROUND(
  MAX(
    MIN(
      (
        (VALUE(INDEX(SPLIT(K474,""-""),1)) + VALUE(INDEX(SPLIT(K474,""-""),2))) / 2
      ) *
      IFS(
        L474&gt;0.4, 1.6,
        L474&gt;0.1, 1.3,
        L474&gt;=-0.05, 1,
        L474&gt;=-0.2, 0.85,
        TRUE, 0.7
     "&amp;" ),
      VALUE(INDEX(SPLIT(K474,""-""),2))
    ),
    VALUE(INDEX(SPLIT(K474,""-""),1))
  )
)"),351.0)</f>
        <v>351</v>
      </c>
      <c r="J474" s="25">
        <f>I474*(VLOOKUP(C474,'Rev_Mapping Table'!$A$1:$C$12,3,0))</f>
        <v>197964000</v>
      </c>
      <c r="K474" s="24" t="s">
        <v>20</v>
      </c>
      <c r="L474" s="26">
        <v>-0.01</v>
      </c>
      <c r="M474" s="27" t="str">
        <f>VLOOKUP(B474,Master_Mapper!$A$2:$C$628,3,0)</f>
        <v>VentureSouth</v>
      </c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</row>
    <row r="475">
      <c r="A475" s="13" t="b">
        <v>0</v>
      </c>
      <c r="B475" s="14" t="s">
        <v>768</v>
      </c>
      <c r="C475" s="13" t="str">
        <f>vlookup(B475,Vert_Mapper!$A$2:$C$567,2,0)</f>
        <v>Energy</v>
      </c>
      <c r="D475" s="13" t="str">
        <f>vlookup(B475,Vert_Mapper!$A$2:$C$567,3,0)</f>
        <v>Renewable Energy</v>
      </c>
      <c r="E475" s="13" t="s">
        <v>26</v>
      </c>
      <c r="F475" s="13" t="s">
        <v>18</v>
      </c>
      <c r="G475" s="13" t="str">
        <f t="shared" si="1"/>
        <v>GROWTH PHASE</v>
      </c>
      <c r="H475" s="13" t="s">
        <v>178</v>
      </c>
      <c r="I475" s="16">
        <f>IFERROR(__xludf.DUMMYFUNCTION("ROUND(
  MAX(
    MIN(
      (
        (VALUE(INDEX(SPLIT(K475,""-""),1)) + VALUE(INDEX(SPLIT(K475,""-""),2))) / 2
      ) *
      IFS(
        L475&gt;0.4, 1.6,
        L475&gt;0.1, 1.3,
        L475&gt;=-0.05, 1,
        L475&gt;=-0.2, 0.85,
        TRUE, 0.7
     "&amp;" ),
      VALUE(INDEX(SPLIT(K475,""-""),2))
    ),
    VALUE(INDEX(SPLIT(K475,""-""),1))
  )
)"),456.0)</f>
        <v>456</v>
      </c>
      <c r="J475" s="17">
        <f>I475*(VLOOKUP(C475,'Rev_Mapping Table'!$A$1:$C$12,3,0))</f>
        <v>1381680000</v>
      </c>
      <c r="K475" s="16" t="s">
        <v>20</v>
      </c>
      <c r="L475" s="18">
        <v>0.13</v>
      </c>
      <c r="M475" s="19" t="str">
        <f>VLOOKUP(B475,Master_Mapper!$A$2:$C$628,3,0)</f>
        <v>Cape Fear Ventures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</row>
    <row r="476">
      <c r="A476" s="21" t="b">
        <v>0</v>
      </c>
      <c r="B476" s="31" t="s">
        <v>769</v>
      </c>
      <c r="C476" s="21" t="str">
        <f>vlookup(B476,Vert_Mapper!$A$2:$C$567,2,0)</f>
        <v>Industrials</v>
      </c>
      <c r="D476" s="21" t="str">
        <f>vlookup(B476,Vert_Mapper!$A$2:$C$567,3,0)</f>
        <v>Maritime &amp; Marine Services</v>
      </c>
      <c r="E476" s="21" t="s">
        <v>26</v>
      </c>
      <c r="F476" s="21" t="s">
        <v>18</v>
      </c>
      <c r="G476" s="21" t="str">
        <f t="shared" si="1"/>
        <v>DECLINING</v>
      </c>
      <c r="H476" s="21" t="s">
        <v>770</v>
      </c>
      <c r="I476" s="24">
        <f>IFERROR(__xludf.DUMMYFUNCTION("ROUND(
  MAX(
    MIN(
      (
        (VALUE(INDEX(SPLIT(K476,""-""),1)) + VALUE(INDEX(SPLIT(K476,""-""),2))) / 2
      ) *
      IFS(
        L476&gt;0.4, 1.6,
        L476&gt;0.1, 1.3,
        L476&gt;=-0.05, 1,
        L476&gt;=-0.2, 0.85,
        TRUE, 0.7
     "&amp;" ),
      VALUE(INDEX(SPLIT(K476,""-""),2))
    ),
    VALUE(INDEX(SPLIT(K476,""-""),1))
  )
)"),26.0)</f>
        <v>26</v>
      </c>
      <c r="J476" s="25">
        <f>I476*(VLOOKUP(C476,'Rev_Mapping Table'!$A$1:$C$12,3,0))</f>
        <v>12818000</v>
      </c>
      <c r="K476" s="24" t="s">
        <v>25</v>
      </c>
      <c r="L476" s="26">
        <v>-0.12</v>
      </c>
      <c r="M476" s="27" t="str">
        <f>VLOOKUP(B476,Master_Mapper!$A$2:$C$628,3,0)</f>
        <v>VentureSouth</v>
      </c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</row>
    <row r="477">
      <c r="A477" s="13" t="b">
        <v>0</v>
      </c>
      <c r="B477" s="14" t="s">
        <v>771</v>
      </c>
      <c r="C477" s="13" t="str">
        <f>vlookup(B477,Vert_Mapper!$A$2:$C$567,2,0)</f>
        <v>Consumer Staples</v>
      </c>
      <c r="D477" s="13" t="str">
        <f>vlookup(B477,Vert_Mapper!$A$2:$C$567,3,0)</f>
        <v>Food &amp; Beverage Manufacturing</v>
      </c>
      <c r="E477" s="13" t="s">
        <v>26</v>
      </c>
      <c r="F477" s="13" t="s">
        <v>18</v>
      </c>
      <c r="G477" s="13" t="str">
        <f t="shared" si="1"/>
        <v>FLAT TO NEUTRAL</v>
      </c>
      <c r="H477" s="13" t="s">
        <v>443</v>
      </c>
      <c r="I477" s="16">
        <f>IFERROR(__xludf.DUMMYFUNCTION("ROUND(
  MAX(
    MIN(
      (
        (VALUE(INDEX(SPLIT(K477,""-""),1)) + VALUE(INDEX(SPLIT(K477,""-""),2))) / 2
      ) *
      IFS(
        L477&gt;0.4, 1.6,
        L477&gt;0.1, 1.3,
        L477&gt;=-0.05, 1,
        L477&gt;=-0.2, 0.85,
        TRUE, 0.7
     "&amp;" ),
      VALUE(INDEX(SPLIT(K477,""-""),2))
    ),
    VALUE(INDEX(SPLIT(K477,""-""),1))
  )
)"),6.0)</f>
        <v>6</v>
      </c>
      <c r="J477" s="17">
        <f>I477*(VLOOKUP(C477,'Rev_Mapping Table'!$A$1:$C$12,3,0))</f>
        <v>3336000</v>
      </c>
      <c r="K477" s="30">
        <v>45698.0</v>
      </c>
      <c r="L477" s="18">
        <v>0.0</v>
      </c>
      <c r="M477" s="19" t="str">
        <f>VLOOKUP(B477,Master_Mapper!$A$2:$C$628,3,0)</f>
        <v>VentureSouth</v>
      </c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</row>
    <row r="478">
      <c r="A478" s="21" t="b">
        <v>0</v>
      </c>
      <c r="B478" s="31" t="s">
        <v>772</v>
      </c>
      <c r="C478" s="21" t="str">
        <f>vlookup(B478,Vert_Mapper!$A$2:$C$567,2,0)</f>
        <v>Healthcare</v>
      </c>
      <c r="D478" s="21" t="str">
        <f>vlookup(B478,Vert_Mapper!$A$2:$C$567,3,0)</f>
        <v>Biotechnology &amp; Pharmaceuticals</v>
      </c>
      <c r="E478" s="21" t="s">
        <v>85</v>
      </c>
      <c r="F478" s="21" t="s">
        <v>86</v>
      </c>
      <c r="G478" s="21" t="str">
        <f t="shared" si="1"/>
        <v>DECLINING</v>
      </c>
      <c r="H478" s="21" t="s">
        <v>773</v>
      </c>
      <c r="I478" s="24">
        <f>IFERROR(__xludf.DUMMYFUNCTION("ROUND(
  MAX(
    MIN(
      (
        (VALUE(INDEX(SPLIT(K478,""-""),1)) + VALUE(INDEX(SPLIT(K478,""-""),2))) / 2
      ) *
      IFS(
        L478&gt;0.4, 1.6,
        L478&gt;0.1, 1.3,
        L478&gt;=-0.05, 1,
        L478&gt;=-0.2, 0.85,
        TRUE, 0.7
     "&amp;" ),
      VALUE(INDEX(SPLIT(K478,""-""),2))
    ),
    VALUE(INDEX(SPLIT(K478,""-""),1))
  )
)"),298.0)</f>
        <v>298</v>
      </c>
      <c r="J478" s="25">
        <f>I478*(VLOOKUP(C478,'Rev_Mapping Table'!$A$1:$C$12,3,0))</f>
        <v>165688000</v>
      </c>
      <c r="K478" s="24" t="s">
        <v>20</v>
      </c>
      <c r="L478" s="26">
        <v>-0.19</v>
      </c>
      <c r="M478" s="27" t="str">
        <f>VLOOKUP(B478,Master_Mapper!$A$2:$C$628,3,0)</f>
        <v>NovaQuest Capital Mgmt</v>
      </c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</row>
    <row r="479">
      <c r="A479" s="13" t="b">
        <v>0</v>
      </c>
      <c r="B479" s="14" t="s">
        <v>774</v>
      </c>
      <c r="C479" s="13" t="str">
        <f>vlookup(B479,Vert_Mapper!$A$2:$C$567,2,0)</f>
        <v>Healthcare</v>
      </c>
      <c r="D479" s="13" t="str">
        <f>vlookup(B479,Vert_Mapper!$A$2:$C$567,3,0)</f>
        <v>Healthcare Technology &amp; Analytics</v>
      </c>
      <c r="E479" s="13" t="s">
        <v>26</v>
      </c>
      <c r="F479" s="13" t="s">
        <v>18</v>
      </c>
      <c r="G479" s="13" t="str">
        <f t="shared" si="1"/>
        <v>DECLINING</v>
      </c>
      <c r="H479" s="13" t="s">
        <v>24</v>
      </c>
      <c r="I479" s="16">
        <f>IFERROR(__xludf.DUMMYFUNCTION("ROUND(
  MAX(
    MIN(
      (
        (VALUE(INDEX(SPLIT(K479,""-""),1)) + VALUE(INDEX(SPLIT(K479,""-""),2))) / 2
      ) *
      IFS(
        L479&gt;0.4, 1.6,
        L479&gt;0.1, 1.3,
        L479&gt;=-0.05, 1,
        L479&gt;=-0.2, 0.85,
        TRUE, 0.7
     "&amp;" ),
      VALUE(INDEX(SPLIT(K479,""-""),2))
    ),
    VALUE(INDEX(SPLIT(K479,""-""),1))
  )
)"),26.0)</f>
        <v>26</v>
      </c>
      <c r="J479" s="17">
        <f>I479*(VLOOKUP(C479,'Rev_Mapping Table'!$A$1:$C$12,3,0))</f>
        <v>14456000</v>
      </c>
      <c r="K479" s="16" t="s">
        <v>25</v>
      </c>
      <c r="L479" s="18">
        <v>-0.18</v>
      </c>
      <c r="M479" s="19" t="str">
        <f>VLOOKUP(B479,Master_Mapper!$A$2:$C$628,3,0)</f>
        <v>Cerity Partners</v>
      </c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</row>
    <row r="480">
      <c r="A480" s="21" t="b">
        <v>0</v>
      </c>
      <c r="B480" s="31" t="s">
        <v>775</v>
      </c>
      <c r="C480" s="21" t="str">
        <f>vlookup(B480,Vert_Mapper!$A$2:$C$567,2,0)</f>
        <v>Information Technology</v>
      </c>
      <c r="D480" s="21" t="str">
        <f>vlookup(B480,Vert_Mapper!$A$2:$C$567,3,0)</f>
        <v>Software &amp; SaaS</v>
      </c>
      <c r="E480" s="21" t="s">
        <v>65</v>
      </c>
      <c r="F480" s="21" t="s">
        <v>18</v>
      </c>
      <c r="G480" s="21" t="str">
        <f t="shared" si="1"/>
        <v>HYPERGROWTH</v>
      </c>
      <c r="H480" s="21" t="s">
        <v>131</v>
      </c>
      <c r="I480" s="24" t="str">
        <f>IFERROR(__xludf.DUMMYFUNCTION("ROUND(
  MAX(
    MIN(
      (
        (VALUE(INDEX(SPLIT(K480,""-""),1)) + VALUE(INDEX(SPLIT(K480,""-""),2))) / 2
      ) *
      IFS(
        L480&gt;0.4, 1.6,
        L480&gt;0.1, 1.3,
        L480&gt;=-0.05, 1,
        L480&gt;=-0.2, 0.85,
        TRUE, 0.7
     "&amp;" ),
      VALUE(INDEX(SPLIT(K480,""-""),2))
    ),
    VALUE(INDEX(SPLIT(K480,""-""),1))
  )
)"),"#VALUE!")</f>
        <v>#VALUE!</v>
      </c>
      <c r="J480" s="25" t="str">
        <f>I480*(VLOOKUP(C480,'Rev_Mapping Table'!$A$1:$C$12,3,0))</f>
        <v>#VALUE!</v>
      </c>
      <c r="K480" s="35" t="s">
        <v>131</v>
      </c>
      <c r="L480" s="35" t="s">
        <v>131</v>
      </c>
      <c r="M480" s="27" t="str">
        <f>VLOOKUP(B480,Master_Mapper!$A$2:$C$628,3,0)</f>
        <v>Harbor Island Equity Partners</v>
      </c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</row>
    <row r="481">
      <c r="A481" s="13" t="b">
        <v>0</v>
      </c>
      <c r="B481" s="14" t="s">
        <v>776</v>
      </c>
      <c r="C481" s="13" t="str">
        <f>vlookup(B481,Vert_Mapper!$A$2:$C$567,2,0)</f>
        <v>Information Technology</v>
      </c>
      <c r="D481" s="13" t="str">
        <f>vlookup(B481,Vert_Mapper!$A$2:$C$567,3,0)</f>
        <v>Software &amp; SaaS</v>
      </c>
      <c r="E481" s="13" t="s">
        <v>26</v>
      </c>
      <c r="F481" s="13" t="s">
        <v>18</v>
      </c>
      <c r="G481" s="13" t="str">
        <f t="shared" si="1"/>
        <v>ACCELERATED GROWTH</v>
      </c>
      <c r="H481" s="13" t="s">
        <v>319</v>
      </c>
      <c r="I481" s="16">
        <f>IFERROR(__xludf.DUMMYFUNCTION("ROUND(
  MAX(
    MIN(
      (
        (VALUE(INDEX(SPLIT(K481,""-""),1)) + VALUE(INDEX(SPLIT(K481,""-""),2))) / 2
      ) *
      IFS(
        L481&gt;0.4, 1.6,
        L481&gt;0.1, 1.3,
        L481&gt;=-0.05, 1,
        L481&gt;=-0.2, 0.85,
        TRUE, 0.7
     "&amp;" ),
      VALUE(INDEX(SPLIT(K481,""-""),2))
    ),
    VALUE(INDEX(SPLIT(K481,""-""),1))
  )
)"),40.0)</f>
        <v>40</v>
      </c>
      <c r="J481" s="17">
        <f>I481*(VLOOKUP(C481,'Rev_Mapping Table'!$A$1:$C$12,3,0))</f>
        <v>22560000</v>
      </c>
      <c r="K481" s="16" t="s">
        <v>25</v>
      </c>
      <c r="L481" s="18">
        <v>0.27</v>
      </c>
      <c r="M481" s="19" t="str">
        <f>VLOOKUP(B481,Master_Mapper!$A$2:$C$628,3,0)</f>
        <v>Cerity Partners</v>
      </c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</row>
    <row r="482">
      <c r="A482" s="21" t="b">
        <v>0</v>
      </c>
      <c r="B482" s="31" t="s">
        <v>777</v>
      </c>
      <c r="C482" s="21" t="str">
        <f>vlookup(B482,Vert_Mapper!$A$2:$C$567,2,0)</f>
        <v>Information Technology</v>
      </c>
      <c r="D482" s="21" t="str">
        <f>vlookup(B482,Vert_Mapper!$A$2:$C$567,3,0)</f>
        <v>IT Services &amp; Consulting</v>
      </c>
      <c r="E482" s="21" t="s">
        <v>26</v>
      </c>
      <c r="F482" s="21" t="s">
        <v>18</v>
      </c>
      <c r="G482" s="21" t="str">
        <f t="shared" si="1"/>
        <v>FLAT TO NEUTRAL</v>
      </c>
      <c r="H482" s="21" t="s">
        <v>57</v>
      </c>
      <c r="I482" s="24">
        <f>IFERROR(__xludf.DUMMYFUNCTION("ROUND(
  MAX(
    MIN(
      (
        (VALUE(INDEX(SPLIT(K482,""-""),1)) + VALUE(INDEX(SPLIT(K482,""-""),2))) / 2
      ) *
      IFS(
        L482&gt;0.4, 1.6,
        L482&gt;0.1, 1.3,
        L482&gt;=-0.05, 1,
        L482&gt;=-0.2, 0.85,
        TRUE, 0.7
     "&amp;" ),
      VALUE(INDEX(SPLIT(K482,""-""),2))
    ),
    VALUE(INDEX(SPLIT(K482,""-""),1))
  )
)"),31.0)</f>
        <v>31</v>
      </c>
      <c r="J482" s="25">
        <f>I482*(VLOOKUP(C482,'Rev_Mapping Table'!$A$1:$C$12,3,0))</f>
        <v>17484000</v>
      </c>
      <c r="K482" s="24" t="s">
        <v>25</v>
      </c>
      <c r="L482" s="26">
        <v>0.0</v>
      </c>
      <c r="M482" s="27" t="str">
        <f>VLOOKUP(B482,Master_Mapper!$A$2:$C$628,3,0)</f>
        <v>VentureSouth</v>
      </c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</row>
    <row r="483">
      <c r="A483" s="13" t="b">
        <v>0</v>
      </c>
      <c r="B483" s="14" t="s">
        <v>778</v>
      </c>
      <c r="C483" s="13" t="str">
        <f>vlookup(B483,Vert_Mapper!$A$2:$C$567,2,0)</f>
        <v>Communications</v>
      </c>
      <c r="D483" s="13" t="str">
        <f>vlookup(B483,Vert_Mapper!$A$2:$C$567,3,0)</f>
        <v>Communications Technology</v>
      </c>
      <c r="E483" s="13" t="s">
        <v>26</v>
      </c>
      <c r="F483" s="13" t="s">
        <v>18</v>
      </c>
      <c r="G483" s="13" t="str">
        <f t="shared" si="1"/>
        <v>GROWTH PHASE</v>
      </c>
      <c r="H483" s="13" t="s">
        <v>473</v>
      </c>
      <c r="I483" s="16">
        <f>IFERROR(__xludf.DUMMYFUNCTION("ROUND(
  MAX(
    MIN(
      (
        (VALUE(INDEX(SPLIT(K483,""-""),1)) + VALUE(INDEX(SPLIT(K483,""-""),2))) / 2
      ) *
      IFS(
        L483&gt;0.4, 1.6,
        L483&gt;0.1, 1.3,
        L483&gt;=-0.05, 1,
        L483&gt;=-0.2, 0.85,
        TRUE, 0.7
     "&amp;" ),
      VALUE(INDEX(SPLIT(K483,""-""),2))
    ),
    VALUE(INDEX(SPLIT(K483,""-""),1))
  )
)"),31.0)</f>
        <v>31</v>
      </c>
      <c r="J483" s="17">
        <f>I483*(VLOOKUP(C483,'Rev_Mapping Table'!$A$1:$C$12,3,0))</f>
        <v>17484000</v>
      </c>
      <c r="K483" s="16" t="s">
        <v>25</v>
      </c>
      <c r="L483" s="18">
        <v>0.04</v>
      </c>
      <c r="M483" s="19" t="str">
        <f>VLOOKUP(B483,Master_Mapper!$A$2:$C$628,3,0)</f>
        <v>WJ Partners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</row>
    <row r="484">
      <c r="A484" s="21" t="b">
        <v>1</v>
      </c>
      <c r="B484" s="31" t="s">
        <v>779</v>
      </c>
      <c r="C484" s="21" t="str">
        <f>vlookup(B484,Vert_Mapper!$A$2:$C$567,2,0)</f>
        <v>Industrials</v>
      </c>
      <c r="D484" s="21" t="str">
        <f>vlookup(B484,Vert_Mapper!$A$2:$C$567,3,0)</f>
        <v>Home Services / Construction / Industrial Services</v>
      </c>
      <c r="E484" s="21" t="s">
        <v>29</v>
      </c>
      <c r="F484" s="21" t="s">
        <v>34</v>
      </c>
      <c r="G484" s="21" t="str">
        <f t="shared" si="1"/>
        <v>ACCELERATED GROWTH</v>
      </c>
      <c r="H484" s="21" t="s">
        <v>780</v>
      </c>
      <c r="I484" s="24">
        <f>IFERROR(__xludf.DUMMYFUNCTION("ROUND(
  MAX(
    MIN(
      (
        (VALUE(INDEX(SPLIT(K484,""-""),1)) + VALUE(INDEX(SPLIT(K484,""-""),2))) / 2
      ) *
      IFS(
        L484&gt;0.4, 1.6,
        L484&gt;0.1, 1.3,
        L484&gt;=-0.05, 1,
        L484&gt;=-0.2, 0.85,
        TRUE, 0.7
     "&amp;" ),
      VALUE(INDEX(SPLIT(K484,""-""),2))
    ),
    VALUE(INDEX(SPLIT(K484,""-""),1))
  )
)"),456.0)</f>
        <v>456</v>
      </c>
      <c r="J484" s="25">
        <f>I484*(VLOOKUP(C484,'Rev_Mapping Table'!$A$1:$C$12,3,0))</f>
        <v>224808000</v>
      </c>
      <c r="K484" s="24" t="s">
        <v>20</v>
      </c>
      <c r="L484" s="26">
        <v>0.38</v>
      </c>
      <c r="M484" s="27" t="str">
        <f>VLOOKUP(B484,Master_Mapper!$A$2:$C$628,3,0)</f>
        <v>Cerity Partners</v>
      </c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</row>
    <row r="485">
      <c r="A485" s="13" t="b">
        <v>0</v>
      </c>
      <c r="B485" s="14" t="s">
        <v>781</v>
      </c>
      <c r="C485" s="13" t="str">
        <f>vlookup(B485,Vert_Mapper!$A$2:$C$567,2,0)</f>
        <v>Consumer Discretionary</v>
      </c>
      <c r="D485" s="13" t="str">
        <f>vlookup(B485,Vert_Mapper!$A$2:$C$567,3,0)</f>
        <v>Consumer Products</v>
      </c>
      <c r="E485" s="13" t="s">
        <v>26</v>
      </c>
      <c r="F485" s="13" t="s">
        <v>18</v>
      </c>
      <c r="G485" s="13" t="str">
        <f t="shared" si="1"/>
        <v>GROWTH PHASE</v>
      </c>
      <c r="H485" s="13" t="s">
        <v>782</v>
      </c>
      <c r="I485" s="16">
        <f>IFERROR(__xludf.DUMMYFUNCTION("ROUND(
  MAX(
    MIN(
      (
        (VALUE(INDEX(SPLIT(K485,""-""),1)) + VALUE(INDEX(SPLIT(K485,""-""),2))) / 2
      ) *
      IFS(
        L485&gt;0.4, 1.6,
        L485&gt;0.1, 1.3,
        L485&gt;=-0.05, 1,
        L485&gt;=-0.2, 0.85,
        TRUE, 0.7
     "&amp;" ),
      VALUE(INDEX(SPLIT(K485,""-""),2))
    ),
    VALUE(INDEX(SPLIT(K485,""-""),1))
  )
)"),6.0)</f>
        <v>6</v>
      </c>
      <c r="J485" s="17">
        <f>I485*(VLOOKUP(C485,'Rev_Mapping Table'!$A$1:$C$12,3,0))</f>
        <v>3072000</v>
      </c>
      <c r="K485" s="30">
        <v>45698.0</v>
      </c>
      <c r="L485" s="18">
        <v>0.05</v>
      </c>
      <c r="M485" s="19" t="str">
        <f>VLOOKUP(B485,Master_Mapper!$A$2:$C$628,3,0)</f>
        <v>Vibora Capital</v>
      </c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</row>
    <row r="486">
      <c r="A486" s="21" t="b">
        <v>0</v>
      </c>
      <c r="B486" s="31" t="s">
        <v>783</v>
      </c>
      <c r="C486" s="21" t="str">
        <f>vlookup(B486,Vert_Mapper!$A$2:$C$567,2,0)</f>
        <v>Information Technology</v>
      </c>
      <c r="D486" s="21" t="str">
        <f>vlookup(B486,Vert_Mapper!$A$2:$C$567,3,0)</f>
        <v>Software &amp; SaaS</v>
      </c>
      <c r="E486" s="21" t="s">
        <v>26</v>
      </c>
      <c r="F486" s="21" t="s">
        <v>18</v>
      </c>
      <c r="G486" s="21" t="str">
        <f t="shared" si="1"/>
        <v>DECLINING</v>
      </c>
      <c r="H486" s="21" t="s">
        <v>224</v>
      </c>
      <c r="I486" s="24">
        <f>IFERROR(__xludf.DUMMYFUNCTION("ROUND(
  MAX(
    MIN(
      (
        (VALUE(INDEX(SPLIT(K486,""-""),1)) + VALUE(INDEX(SPLIT(K486,""-""),2))) / 2
      ) *
      IFS(
        L486&gt;0.4, 1.6,
        L486&gt;0.1, 1.3,
        L486&gt;=-0.05, 1,
        L486&gt;=-0.2, 0.85,
        TRUE, 0.7
     "&amp;" ),
      VALUE(INDEX(SPLIT(K486,""-""),2))
    ),
    VALUE(INDEX(SPLIT(K486,""-""),1))
  )
)"),107.0)</f>
        <v>107</v>
      </c>
      <c r="J486" s="25">
        <f>I486*(VLOOKUP(C486,'Rev_Mapping Table'!$A$1:$C$12,3,0))</f>
        <v>60348000</v>
      </c>
      <c r="K486" s="24" t="s">
        <v>32</v>
      </c>
      <c r="L486" s="26">
        <v>-0.1</v>
      </c>
      <c r="M486" s="27" t="str">
        <f>VLOOKUP(B486,Master_Mapper!$A$2:$C$628,3,0)</f>
        <v>VentureSouth</v>
      </c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</row>
    <row r="487">
      <c r="A487" s="13" t="b">
        <v>0</v>
      </c>
      <c r="B487" s="14" t="s">
        <v>784</v>
      </c>
      <c r="C487" s="13" t="str">
        <f>vlookup(B487,Vert_Mapper!$A$2:$C$567,2,0)</f>
        <v>Healthcare</v>
      </c>
      <c r="D487" s="13" t="str">
        <f>vlookup(B487,Vert_Mapper!$A$2:$C$567,3,0)</f>
        <v>Biotechnology &amp; Pharmaceuticals</v>
      </c>
      <c r="E487" s="13" t="s">
        <v>26</v>
      </c>
      <c r="F487" s="13" t="s">
        <v>18</v>
      </c>
      <c r="G487" s="13" t="str">
        <f t="shared" si="1"/>
        <v>GROWTH PHASE</v>
      </c>
      <c r="H487" s="13" t="s">
        <v>682</v>
      </c>
      <c r="I487" s="16">
        <f>IFERROR(__xludf.DUMMYFUNCTION("ROUND(
  MAX(
    MIN(
      (
        (VALUE(INDEX(SPLIT(K487,""-""),1)) + VALUE(INDEX(SPLIT(K487,""-""),2))) / 2
      ) *
      IFS(
        L487&gt;0.4, 1.6,
        L487&gt;0.1, 1.3,
        L487&gt;=-0.05, 1,
        L487&gt;=-0.2, 0.85,
        TRUE, 0.7
     "&amp;" ),
      VALUE(INDEX(SPLIT(K487,""-""),2))
    ),
    VALUE(INDEX(SPLIT(K487,""-""),1))
  )
)"),751.0)</f>
        <v>751</v>
      </c>
      <c r="J487" s="17">
        <f>I487*(VLOOKUP(C487,'Rev_Mapping Table'!$A$1:$C$12,3,0))</f>
        <v>417556000</v>
      </c>
      <c r="K487" s="16" t="s">
        <v>54</v>
      </c>
      <c r="L487" s="18">
        <v>0.08</v>
      </c>
      <c r="M487" s="19" t="str">
        <f>VLOOKUP(B487,Master_Mapper!$A$2:$C$628,3,0)</f>
        <v>NovaQuest Capital Mgmt</v>
      </c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</row>
    <row r="488">
      <c r="A488" s="21" t="b">
        <v>0</v>
      </c>
      <c r="B488" s="31" t="s">
        <v>785</v>
      </c>
      <c r="C488" s="21" t="str">
        <f>vlookup(B488,Vert_Mapper!$A$2:$C$567,2,0)</f>
        <v>Industrials</v>
      </c>
      <c r="D488" s="21" t="str">
        <f>vlookup(B488,Vert_Mapper!$A$2:$C$567,3,0)</f>
        <v>Transportation &amp; Logistics</v>
      </c>
      <c r="E488" s="21" t="s">
        <v>26</v>
      </c>
      <c r="F488" s="21" t="s">
        <v>18</v>
      </c>
      <c r="G488" s="21" t="str">
        <f t="shared" si="1"/>
        <v>GROWTH PHASE</v>
      </c>
      <c r="H488" s="21" t="s">
        <v>155</v>
      </c>
      <c r="I488" s="24">
        <f>IFERROR(__xludf.DUMMYFUNCTION("ROUND(
  MAX(
    MIN(
      (
        (VALUE(INDEX(SPLIT(K488,""-""),1)) + VALUE(INDEX(SPLIT(K488,""-""),2))) / 2
      ) *
      IFS(
        L488&gt;0.4, 1.6,
        L488&gt;0.1, 1.3,
        L488&gt;=-0.05, 1,
        L488&gt;=-0.2, 0.85,
        TRUE, 0.7
     "&amp;" ),
      VALUE(INDEX(SPLIT(K488,""-""),2))
    ),
    VALUE(INDEX(SPLIT(K488,""-""),1))
  )
)"),976.0)</f>
        <v>976</v>
      </c>
      <c r="J488" s="25">
        <f>I488*(VLOOKUP(C488,'Rev_Mapping Table'!$A$1:$C$12,3,0))</f>
        <v>481168000</v>
      </c>
      <c r="K488" s="24" t="s">
        <v>54</v>
      </c>
      <c r="L488" s="26">
        <v>0.13</v>
      </c>
      <c r="M488" s="27" t="str">
        <f>VLOOKUP(B488,Master_Mapper!$A$2:$C$628,3,0)</f>
        <v>Vibora Capital</v>
      </c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</row>
    <row r="489">
      <c r="A489" s="13" t="b">
        <v>0</v>
      </c>
      <c r="B489" s="14" t="s">
        <v>786</v>
      </c>
      <c r="C489" s="13" t="str">
        <f>vlookup(B489,Vert_Mapper!$A$2:$C$567,2,0)</f>
        <v>Communications</v>
      </c>
      <c r="D489" s="13" t="str">
        <f>vlookup(B489,Vert_Mapper!$A$2:$C$567,3,0)</f>
        <v>Communications Technology</v>
      </c>
      <c r="E489" s="13" t="s">
        <v>26</v>
      </c>
      <c r="F489" s="13" t="s">
        <v>18</v>
      </c>
      <c r="G489" s="13" t="str">
        <f t="shared" si="1"/>
        <v>DECLINING</v>
      </c>
      <c r="H489" s="13" t="s">
        <v>146</v>
      </c>
      <c r="I489" s="16">
        <f>IFERROR(__xludf.DUMMYFUNCTION("ROUND(
  MAX(
    MIN(
      (
        (VALUE(INDEX(SPLIT(K489,""-""),1)) + VALUE(INDEX(SPLIT(K489,""-""),2))) / 2
      ) *
      IFS(
        L489&gt;0.4, 1.6,
        L489&gt;0.1, 1.3,
        L489&gt;=-0.05, 1,
        L489&gt;=-0.2, 0.85,
        TRUE, 0.7
     "&amp;" ),
      VALUE(INDEX(SPLIT(K489,""-""),2))
    ),
    VALUE(INDEX(SPLIT(K489,""-""),1))
  )
)"),126.0)</f>
        <v>126</v>
      </c>
      <c r="J489" s="17">
        <f>I489*(VLOOKUP(C489,'Rev_Mapping Table'!$A$1:$C$12,3,0))</f>
        <v>71064000</v>
      </c>
      <c r="K489" s="16" t="s">
        <v>32</v>
      </c>
      <c r="L489" s="18">
        <v>-0.02</v>
      </c>
      <c r="M489" s="19" t="str">
        <f>VLOOKUP(B489,Master_Mapper!$A$2:$C$628,3,0)</f>
        <v>Cerity Partners</v>
      </c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</row>
    <row r="490">
      <c r="A490" s="21" t="b">
        <v>0</v>
      </c>
      <c r="B490" s="31" t="s">
        <v>787</v>
      </c>
      <c r="C490" s="21" t="str">
        <f>vlookup(B490,Vert_Mapper!$A$2:$C$567,2,0)</f>
        <v>Consumer Staples</v>
      </c>
      <c r="D490" s="21" t="str">
        <f>vlookup(B490,Vert_Mapper!$A$2:$C$567,3,0)</f>
        <v>Food &amp; Beverage Manufacturing</v>
      </c>
      <c r="E490" s="21" t="s">
        <v>26</v>
      </c>
      <c r="F490" s="21" t="s">
        <v>18</v>
      </c>
      <c r="G490" s="21" t="str">
        <f t="shared" si="1"/>
        <v>SEVERELY NEGATIVE</v>
      </c>
      <c r="H490" s="21" t="s">
        <v>24</v>
      </c>
      <c r="I490" s="24">
        <f>IFERROR(__xludf.DUMMYFUNCTION("ROUND(
  MAX(
    MIN(
      (
        (VALUE(INDEX(SPLIT(K490,""-""),1)) + VALUE(INDEX(SPLIT(K490,""-""),2))) / 2
      ) *
      IFS(
        L490&gt;0.4, 1.6,
        L490&gt;0.1, 1.3,
        L490&gt;=-0.05, 1,
        L490&gt;=-0.2, 0.85,
        TRUE, 0.7
     "&amp;" ),
      VALUE(INDEX(SPLIT(K490,""-""),2))
    ),
    VALUE(INDEX(SPLIT(K490,""-""),1))
  )
)"),4.0)</f>
        <v>4</v>
      </c>
      <c r="J490" s="25">
        <f>I490*(VLOOKUP(C490,'Rev_Mapping Table'!$A$1:$C$12,3,0))</f>
        <v>2224000</v>
      </c>
      <c r="K490" s="32">
        <v>45698.0</v>
      </c>
      <c r="L490" s="26">
        <v>-0.33</v>
      </c>
      <c r="M490" s="27" t="str">
        <f>VLOOKUP(B490,Master_Mapper!$A$2:$C$628,3,0)</f>
        <v>Cerity Partners</v>
      </c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</row>
    <row r="491">
      <c r="A491" s="13" t="b">
        <v>0</v>
      </c>
      <c r="B491" s="46" t="s">
        <v>788</v>
      </c>
      <c r="C491" s="13" t="str">
        <f>vlookup(B491,Vert_Mapper!$A$2:$C$567,2,0)</f>
        <v>Information Technology</v>
      </c>
      <c r="D491" s="13" t="str">
        <f>vlookup(B491,Vert_Mapper!$A$2:$C$567,3,0)</f>
        <v>Education Technology</v>
      </c>
      <c r="E491" s="13" t="s">
        <v>65</v>
      </c>
      <c r="F491" s="13" t="s">
        <v>30</v>
      </c>
      <c r="G491" s="13" t="str">
        <f t="shared" si="1"/>
        <v>HYPERGROWTH</v>
      </c>
      <c r="H491" s="13" t="s">
        <v>131</v>
      </c>
      <c r="I491" s="16" t="str">
        <f>IFERROR(__xludf.DUMMYFUNCTION("ROUND(
  MAX(
    MIN(
      (
        (VALUE(INDEX(SPLIT(K491,""-""),1)) + VALUE(INDEX(SPLIT(K491,""-""),2))) / 2
      ) *
      IFS(
        L491&gt;0.4, 1.6,
        L491&gt;0.1, 1.3,
        L491&gt;=-0.05, 1,
        L491&gt;=-0.2, 0.85,
        TRUE, 0.7
     "&amp;" ),
      VALUE(INDEX(SPLIT(K491,""-""),2))
    ),
    VALUE(INDEX(SPLIT(K491,""-""),1))
  )
)"),"#VALUE!")</f>
        <v>#VALUE!</v>
      </c>
      <c r="J491" s="17" t="str">
        <f>I491*(VLOOKUP(C491,'Rev_Mapping Table'!$A$1:$C$12,3,0))</f>
        <v>#VALUE!</v>
      </c>
      <c r="K491" s="33" t="s">
        <v>131</v>
      </c>
      <c r="L491" s="33" t="s">
        <v>131</v>
      </c>
      <c r="M491" s="19" t="str">
        <f>VLOOKUP(B491,Master_Mapper!$A$2:$C$628,3,0)</f>
        <v>Cape Fear Ventures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</row>
    <row r="492">
      <c r="A492" s="21" t="b">
        <v>0</v>
      </c>
      <c r="B492" s="31" t="s">
        <v>789</v>
      </c>
      <c r="C492" s="21" t="str">
        <f>vlookup(B492,Vert_Mapper!$A$2:$C$567,2,0)</f>
        <v>Consumer Staples</v>
      </c>
      <c r="D492" s="21" t="str">
        <f>vlookup(B492,Vert_Mapper!$A$2:$C$567,3,0)</f>
        <v>Food &amp; Beverage Manufacturing</v>
      </c>
      <c r="E492" s="21" t="s">
        <v>26</v>
      </c>
      <c r="F492" s="21" t="s">
        <v>18</v>
      </c>
      <c r="G492" s="21" t="str">
        <f t="shared" si="1"/>
        <v>GROWTH PHASE</v>
      </c>
      <c r="H492" s="21" t="s">
        <v>433</v>
      </c>
      <c r="I492" s="24">
        <f>IFERROR(__xludf.DUMMYFUNCTION("ROUND(
  MAX(
    MIN(
      (
        (VALUE(INDEX(SPLIT(K492,""-""),1)) + VALUE(INDEX(SPLIT(K492,""-""),2))) / 2
      ) *
      IFS(
        L492&gt;0.4, 1.6,
        L492&gt;0.1, 1.3,
        L492&gt;=-0.05, 1,
        L492&gt;=-0.2, 0.85,
        TRUE, 0.7
     "&amp;" ),
      VALUE(INDEX(SPLIT(K492,""-""),2))
    ),
    VALUE(INDEX(SPLIT(K492,""-""),1))
  )
)"),351.0)</f>
        <v>351</v>
      </c>
      <c r="J492" s="25">
        <f>I492*(VLOOKUP(C492,'Rev_Mapping Table'!$A$1:$C$12,3,0))</f>
        <v>195156000</v>
      </c>
      <c r="K492" s="24" t="s">
        <v>20</v>
      </c>
      <c r="L492" s="26">
        <v>0.06</v>
      </c>
      <c r="M492" s="27" t="str">
        <f>VLOOKUP(B492,Master_Mapper!$A$2:$C$628,3,0)</f>
        <v>Falfurrias Capital Partners</v>
      </c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</row>
    <row r="493">
      <c r="A493" s="13" t="b">
        <v>0</v>
      </c>
      <c r="B493" s="14" t="s">
        <v>790</v>
      </c>
      <c r="C493" s="13" t="str">
        <f>vlookup(B493,Vert_Mapper!$A$2:$C$567,2,0)</f>
        <v>Communications</v>
      </c>
      <c r="D493" s="13" t="str">
        <f>vlookup(B493,Vert_Mapper!$A$2:$C$567,3,0)</f>
        <v>Communications Technology</v>
      </c>
      <c r="E493" s="13" t="s">
        <v>26</v>
      </c>
      <c r="F493" s="13" t="s">
        <v>18</v>
      </c>
      <c r="G493" s="13" t="str">
        <f t="shared" si="1"/>
        <v>ACCELERATED GROWTH</v>
      </c>
      <c r="H493" s="13" t="s">
        <v>24</v>
      </c>
      <c r="I493" s="16">
        <f>IFERROR(__xludf.DUMMYFUNCTION("ROUND(
  MAX(
    MIN(
      (
        (VALUE(INDEX(SPLIT(K493,""-""),1)) + VALUE(INDEX(SPLIT(K493,""-""),2))) / 2
      ) *
      IFS(
        L493&gt;0.4, 1.6,
        L493&gt;0.1, 1.3,
        L493&gt;=-0.05, 1,
        L493&gt;=-0.2, 0.85,
        TRUE, 0.7
     "&amp;" ),
      VALUE(INDEX(SPLIT(K493,""-""),2))
    ),
    VALUE(INDEX(SPLIT(K493,""-""),1))
  )
)"),200.0)</f>
        <v>200</v>
      </c>
      <c r="J493" s="17">
        <f>I493*(VLOOKUP(C493,'Rev_Mapping Table'!$A$1:$C$12,3,0))</f>
        <v>112800000</v>
      </c>
      <c r="K493" s="16" t="s">
        <v>32</v>
      </c>
      <c r="L493" s="18">
        <v>0.95</v>
      </c>
      <c r="M493" s="19" t="str">
        <f>VLOOKUP(B493,Master_Mapper!$A$2:$C$628,3,0)</f>
        <v>Pamlico Capital</v>
      </c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</row>
    <row r="494">
      <c r="A494" s="21" t="b">
        <v>1</v>
      </c>
      <c r="B494" s="31" t="s">
        <v>791</v>
      </c>
      <c r="C494" s="21" t="str">
        <f>vlookup(B494,Vert_Mapper!$A$2:$C$567,2,0)</f>
        <v>Energy</v>
      </c>
      <c r="D494" s="21" t="str">
        <f>vlookup(B494,Vert_Mapper!$A$2:$C$567,3,0)</f>
        <v>Energy Management &amp; Trading</v>
      </c>
      <c r="E494" s="21" t="s">
        <v>26</v>
      </c>
      <c r="F494" s="21" t="s">
        <v>18</v>
      </c>
      <c r="G494" s="21" t="str">
        <f t="shared" si="1"/>
        <v>GROWTH PHASE</v>
      </c>
      <c r="H494" s="21" t="s">
        <v>619</v>
      </c>
      <c r="I494" s="24">
        <f>IFERROR(__xludf.DUMMYFUNCTION("ROUND(
  MAX(
    MIN(
      (
        (VALUE(INDEX(SPLIT(K494,""-""),1)) + VALUE(INDEX(SPLIT(K494,""-""),2))) / 2
      ) *
      IFS(
        L494&gt;0.4, 1.6,
        L494&gt;0.1, 1.3,
        L494&gt;=-0.05, 1,
        L494&gt;=-0.2, 0.85,
        TRUE, 0.7
     "&amp;" ),
      VALUE(INDEX(SPLIT(K494,""-""),2))
    ),
    VALUE(INDEX(SPLIT(K494,""-""),1))
  )
)"),31.0)</f>
        <v>31</v>
      </c>
      <c r="J494" s="25">
        <f>I494*(VLOOKUP(C494,'Rev_Mapping Table'!$A$1:$C$12,3,0))</f>
        <v>93930000</v>
      </c>
      <c r="K494" s="24" t="s">
        <v>25</v>
      </c>
      <c r="L494" s="26">
        <v>0.09</v>
      </c>
      <c r="M494" s="27" t="str">
        <f>VLOOKUP(B494,Master_Mapper!$A$2:$C$628,3,0)</f>
        <v>VentureSouth</v>
      </c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</row>
    <row r="495">
      <c r="A495" s="13" t="b">
        <v>0</v>
      </c>
      <c r="B495" s="14" t="s">
        <v>792</v>
      </c>
      <c r="C495" s="13" t="str">
        <f>vlookup(B495,Vert_Mapper!$A$2:$C$567,2,0)</f>
        <v>Information Technology</v>
      </c>
      <c r="D495" s="13" t="str">
        <f>vlookup(B495,Vert_Mapper!$A$2:$C$567,3,0)</f>
        <v>IT Services &amp; Consulting</v>
      </c>
      <c r="E495" s="13" t="s">
        <v>26</v>
      </c>
      <c r="F495" s="13" t="s">
        <v>18</v>
      </c>
      <c r="G495" s="13" t="str">
        <f t="shared" si="1"/>
        <v>ACCELERATED GROWTH</v>
      </c>
      <c r="H495" s="13" t="s">
        <v>793</v>
      </c>
      <c r="I495" s="16">
        <f>IFERROR(__xludf.DUMMYFUNCTION("ROUND(
  MAX(
    MIN(
      (
        (VALUE(INDEX(SPLIT(K495,""-""),1)) + VALUE(INDEX(SPLIT(K495,""-""),2))) / 2
      ) *
      IFS(
        L495&gt;0.4, 1.6,
        L495&gt;0.1, 1.3,
        L495&gt;=-0.05, 1,
        L495&gt;=-0.2, 0.85,
        TRUE, 0.7
     "&amp;" ),
      VALUE(INDEX(SPLIT(K495,""-""),2))
    ),
    VALUE(INDEX(SPLIT(K495,""-""),1))
  )
)"),456.0)</f>
        <v>456</v>
      </c>
      <c r="J495" s="17">
        <f>I495*(VLOOKUP(C495,'Rev_Mapping Table'!$A$1:$C$12,3,0))</f>
        <v>257184000</v>
      </c>
      <c r="K495" s="16" t="s">
        <v>20</v>
      </c>
      <c r="L495" s="18">
        <v>0.4</v>
      </c>
      <c r="M495" s="19" t="str">
        <f>VLOOKUP(B495,Master_Mapper!$A$2:$C$628,3,0)</f>
        <v>Route 2 Capital Partners</v>
      </c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</row>
    <row r="496">
      <c r="A496" s="21" t="b">
        <v>0</v>
      </c>
      <c r="B496" s="31" t="s">
        <v>794</v>
      </c>
      <c r="C496" s="21" t="str">
        <f>vlookup(B496,Vert_Mapper!$A$2:$C$567,2,0)</f>
        <v>Healthcare</v>
      </c>
      <c r="D496" s="21" t="str">
        <f>vlookup(B496,Vert_Mapper!$A$2:$C$567,3,0)</f>
        <v>Medical Devices &amp; Technology</v>
      </c>
      <c r="E496" s="21" t="s">
        <v>85</v>
      </c>
      <c r="F496" s="21" t="s">
        <v>18</v>
      </c>
      <c r="G496" s="21" t="str">
        <f t="shared" si="1"/>
        <v>FLAT TO NEUTRAL</v>
      </c>
      <c r="H496" s="21" t="s">
        <v>795</v>
      </c>
      <c r="I496" s="24">
        <f>IFERROR(__xludf.DUMMYFUNCTION("ROUND(
  MAX(
    MIN(
      (
        (VALUE(INDEX(SPLIT(K496,""-""),1)) + VALUE(INDEX(SPLIT(K496,""-""),2))) / 2
      ) *
      IFS(
        L496&gt;0.4, 1.6,
        L496&gt;0.1, 1.3,
        L496&gt;=-0.05, 1,
        L496&gt;=-0.2, 0.85,
        TRUE, 0.7
     "&amp;" ),
      VALUE(INDEX(SPLIT(K496,""-""),2))
    ),
    VALUE(INDEX(SPLIT(K496,""-""),1))
  )
)"),6.0)</f>
        <v>6</v>
      </c>
      <c r="J496" s="25">
        <f>I496*(VLOOKUP(C496,'Rev_Mapping Table'!$A$1:$C$12,3,0))</f>
        <v>3336000</v>
      </c>
      <c r="K496" s="32">
        <v>45698.0</v>
      </c>
      <c r="L496" s="26">
        <v>0.0</v>
      </c>
      <c r="M496" s="27" t="str">
        <f>VLOOKUP(B496,Master_Mapper!$A$2:$C$628,3,0)</f>
        <v>Harbright Ventures</v>
      </c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</row>
    <row r="497">
      <c r="A497" s="13" t="b">
        <v>0</v>
      </c>
      <c r="B497" s="14" t="s">
        <v>796</v>
      </c>
      <c r="C497" s="13" t="str">
        <f>vlookup(B497,Vert_Mapper!$A$2:$C$567,2,0)</f>
        <v>Industrials</v>
      </c>
      <c r="D497" s="13" t="str">
        <f>vlookup(B497,Vert_Mapper!$A$2:$C$567,3,0)</f>
        <v>Manufacturing &amp; Processing</v>
      </c>
      <c r="E497" s="13" t="s">
        <v>29</v>
      </c>
      <c r="F497" s="13" t="s">
        <v>34</v>
      </c>
      <c r="G497" s="13" t="str">
        <f t="shared" si="1"/>
        <v>GROWTH PHASE</v>
      </c>
      <c r="H497" s="13" t="s">
        <v>273</v>
      </c>
      <c r="I497" s="16">
        <f>IFERROR(__xludf.DUMMYFUNCTION("ROUND(
  MAX(
    MIN(
      (
        (VALUE(INDEX(SPLIT(K497,""-""),1)) + VALUE(INDEX(SPLIT(K497,""-""),2))) / 2
      ) *
      IFS(
        L497&gt;0.4, 1.6,
        L497&gt;0.1, 1.3,
        L497&gt;=-0.05, 1,
        L497&gt;=-0.2, 0.85,
        TRUE, 0.7
     "&amp;" ),
      VALUE(INDEX(SPLIT(K497,""-""),2))
    ),
    VALUE(INDEX(SPLIT(K497,""-""),1))
  )
)"),163.0)</f>
        <v>163</v>
      </c>
      <c r="J497" s="17">
        <f>I497*(VLOOKUP(C497,'Rev_Mapping Table'!$A$1:$C$12,3,0))</f>
        <v>80359000</v>
      </c>
      <c r="K497" s="16" t="s">
        <v>32</v>
      </c>
      <c r="L497" s="18">
        <v>0.15</v>
      </c>
      <c r="M497" s="19" t="str">
        <f>VLOOKUP(B497,Master_Mapper!$A$2:$C$628,3,0)</f>
        <v>Tidewater Equity Partners</v>
      </c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</row>
    <row r="498">
      <c r="A498" s="21" t="b">
        <v>1</v>
      </c>
      <c r="B498" s="31" t="s">
        <v>797</v>
      </c>
      <c r="C498" s="21" t="str">
        <f>vlookup(B498,Vert_Mapper!$A$2:$C$567,2,0)</f>
        <v>Real Estate</v>
      </c>
      <c r="D498" s="21" t="str">
        <f>vlookup(B498,Vert_Mapper!$A$2:$C$567,3,0)</f>
        <v>Property Management &amp; Services</v>
      </c>
      <c r="E498" s="21" t="s">
        <v>26</v>
      </c>
      <c r="F498" s="21" t="s">
        <v>18</v>
      </c>
      <c r="G498" s="21" t="str">
        <f t="shared" si="1"/>
        <v>ACCELERATED GROWTH</v>
      </c>
      <c r="H498" s="21" t="s">
        <v>798</v>
      </c>
      <c r="I498" s="24">
        <f>IFERROR(__xludf.DUMMYFUNCTION("ROUND(
  MAX(
    MIN(
      (
        (VALUE(INDEX(SPLIT(K498,""-""),1)) + VALUE(INDEX(SPLIT(K498,""-""),2))) / 2
      ) *
      IFS(
        L498&gt;0.4, 1.6,
        L498&gt;0.1, 1.3,
        L498&gt;=-0.05, 1,
        L498&gt;=-0.2, 0.85,
        TRUE, 0.7
     "&amp;" ),
      VALUE(INDEX(SPLIT(K498,""-""),2))
    ),
    VALUE(INDEX(SPLIT(K498,""-""),1))
  )
)"),49.0)</f>
        <v>49</v>
      </c>
      <c r="J498" s="25">
        <f>I498*(VLOOKUP(C498,'Rev_Mapping Table'!$A$1:$C$12,3,0))</f>
        <v>22540000</v>
      </c>
      <c r="K498" s="24" t="s">
        <v>25</v>
      </c>
      <c r="L498" s="26">
        <v>0.5</v>
      </c>
      <c r="M498" s="27" t="str">
        <f>VLOOKUP(B498,Master_Mapper!$A$2:$C$628,3,0)</f>
        <v>South Street Partners (Charlotte)</v>
      </c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</row>
    <row r="499">
      <c r="A499" s="13" t="b">
        <v>0</v>
      </c>
      <c r="B499" s="14" t="s">
        <v>799</v>
      </c>
      <c r="C499" s="13" t="str">
        <f>vlookup(B499,Vert_Mapper!$A$2:$C$567,2,0)</f>
        <v>Financials</v>
      </c>
      <c r="D499" s="13" t="str">
        <f>vlookup(B499,Vert_Mapper!$A$2:$C$567,3,0)</f>
        <v>Venture Capital &amp; Private Equity</v>
      </c>
      <c r="E499" s="13" t="s">
        <v>65</v>
      </c>
      <c r="F499" s="13" t="s">
        <v>18</v>
      </c>
      <c r="G499" s="13" t="str">
        <f t="shared" si="1"/>
        <v>HYPERGROWTH</v>
      </c>
      <c r="H499" s="13" t="s">
        <v>131</v>
      </c>
      <c r="I499" s="16" t="str">
        <f>IFERROR(__xludf.DUMMYFUNCTION("ROUND(
  MAX(
    MIN(
      (
        (VALUE(INDEX(SPLIT(K499,""-""),1)) + VALUE(INDEX(SPLIT(K499,""-""),2))) / 2
      ) *
      IFS(
        L499&gt;0.4, 1.6,
        L499&gt;0.1, 1.3,
        L499&gt;=-0.05, 1,
        L499&gt;=-0.2, 0.85,
        TRUE, 0.7
     "&amp;" ),
      VALUE(INDEX(SPLIT(K499,""-""),2))
    ),
    VALUE(INDEX(SPLIT(K499,""-""),1))
  )
)"),"#VALUE!")</f>
        <v>#VALUE!</v>
      </c>
      <c r="J499" s="17" t="str">
        <f>I499*(VLOOKUP(C499,'Rev_Mapping Table'!$A$1:$C$12,3,0))</f>
        <v>#VALUE!</v>
      </c>
      <c r="K499" s="33" t="s">
        <v>131</v>
      </c>
      <c r="L499" s="33" t="s">
        <v>131</v>
      </c>
      <c r="M499" s="19" t="str">
        <f>VLOOKUP(B499,Master_Mapper!$A$2:$C$628,3,0)</f>
        <v>VentureSouth</v>
      </c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</row>
    <row r="500">
      <c r="A500" s="21" t="b">
        <v>0</v>
      </c>
      <c r="B500" s="31" t="s">
        <v>800</v>
      </c>
      <c r="C500" s="21" t="str">
        <f>vlookup(B500,Vert_Mapper!$A$2:$C$567,2,0)</f>
        <v>Industrials</v>
      </c>
      <c r="D500" s="21" t="str">
        <f>vlookup(B500,Vert_Mapper!$A$2:$C$567,3,0)</f>
        <v>Home Services / Construction / Industrial Services</v>
      </c>
      <c r="E500" s="21" t="s">
        <v>26</v>
      </c>
      <c r="F500" s="21" t="s">
        <v>18</v>
      </c>
      <c r="G500" s="21" t="str">
        <f t="shared" si="1"/>
        <v>GROWTH PHASE</v>
      </c>
      <c r="H500" s="21" t="s">
        <v>801</v>
      </c>
      <c r="I500" s="24">
        <f>IFERROR(__xludf.DUMMYFUNCTION("ROUND(
  MAX(
    MIN(
      (
        (VALUE(INDEX(SPLIT(K500,""-""),1)) + VALUE(INDEX(SPLIT(K500,""-""),2))) / 2
      ) *
      IFS(
        L500&gt;0.4, 1.6,
        L500&gt;0.1, 1.3,
        L500&gt;=-0.05, 1,
        L500&gt;=-0.2, 0.85,
        TRUE, 0.7
     "&amp;" ),
      VALUE(INDEX(SPLIT(K500,""-""),2))
    ),
    VALUE(INDEX(SPLIT(K500,""-""),1))
  )
)"),163.0)</f>
        <v>163</v>
      </c>
      <c r="J500" s="25">
        <f>I500*(VLOOKUP(C500,'Rev_Mapping Table'!$A$1:$C$12,3,0))</f>
        <v>80359000</v>
      </c>
      <c r="K500" s="24" t="s">
        <v>32</v>
      </c>
      <c r="L500" s="26">
        <v>0.15</v>
      </c>
      <c r="M500" s="27" t="str">
        <f>VLOOKUP(B500,Master_Mapper!$A$2:$C$628,3,0)</f>
        <v>Monomoy Capital Partners</v>
      </c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</row>
    <row r="501">
      <c r="A501" s="13" t="b">
        <v>0</v>
      </c>
      <c r="B501" s="14" t="s">
        <v>802</v>
      </c>
      <c r="C501" s="13" t="str">
        <f>vlookup(B501,Vert_Mapper!$A$2:$C$567,2,0)</f>
        <v>Information Technology</v>
      </c>
      <c r="D501" s="13" t="str">
        <f>vlookup(B501,Vert_Mapper!$A$2:$C$567,3,0)</f>
        <v>Cloud &amp; Infrastructure</v>
      </c>
      <c r="E501" s="13" t="s">
        <v>65</v>
      </c>
      <c r="F501" s="13" t="s">
        <v>30</v>
      </c>
      <c r="G501" s="13" t="str">
        <f t="shared" si="1"/>
        <v>GROWTH PHASE</v>
      </c>
      <c r="H501" s="13" t="s">
        <v>614</v>
      </c>
      <c r="I501" s="16">
        <f>IFERROR(__xludf.DUMMYFUNCTION("ROUND(
  MAX(
    MIN(
      (
        (VALUE(INDEX(SPLIT(K501,""-""),1)) + VALUE(INDEX(SPLIT(K501,""-""),2))) / 2
      ) *
      IFS(
        L501&gt;0.4, 1.6,
        L501&gt;0.1, 1.3,
        L501&gt;=-0.05, 1,
        L501&gt;=-0.2, 0.85,
        TRUE, 0.7
     "&amp;" ),
      VALUE(INDEX(SPLIT(K501,""-""),2))
    ),
    VALUE(INDEX(SPLIT(K501,""-""),1))
  )
)"),456.0)</f>
        <v>456</v>
      </c>
      <c r="J501" s="17">
        <f>I501*(VLOOKUP(C501,'Rev_Mapping Table'!$A$1:$C$12,3,0))</f>
        <v>257184000</v>
      </c>
      <c r="K501" s="16" t="s">
        <v>20</v>
      </c>
      <c r="L501" s="18">
        <v>0.2</v>
      </c>
      <c r="M501" s="19" t="str">
        <f>VLOOKUP(B501,Master_Mapper!$A$2:$C$628,3,0)</f>
        <v>Cerity Partners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</row>
    <row r="502">
      <c r="A502" s="21" t="b">
        <v>0</v>
      </c>
      <c r="B502" s="31" t="s">
        <v>803</v>
      </c>
      <c r="C502" s="21" t="str">
        <f>vlookup(B502,Vert_Mapper!$A$2:$C$567,2,0)</f>
        <v>Information Technology</v>
      </c>
      <c r="D502" s="21" t="str">
        <f>vlookup(B502,Vert_Mapper!$A$2:$C$567,3,0)</f>
        <v>Software &amp; SaaS</v>
      </c>
      <c r="E502" s="21" t="s">
        <v>26</v>
      </c>
      <c r="F502" s="21" t="s">
        <v>18</v>
      </c>
      <c r="G502" s="21" t="str">
        <f t="shared" si="1"/>
        <v>GROWTH PHASE</v>
      </c>
      <c r="H502" s="21" t="s">
        <v>100</v>
      </c>
      <c r="I502" s="24">
        <f>IFERROR(__xludf.DUMMYFUNCTION("ROUND(
  MAX(
    MIN(
      (
        (VALUE(INDEX(SPLIT(K502,""-""),1)) + VALUE(INDEX(SPLIT(K502,""-""),2))) / 2
      ) *
      IFS(
        L502&gt;0.4, 1.6,
        L502&gt;0.1, 1.3,
        L502&gt;=-0.05, 1,
        L502&gt;=-0.2, 0.85,
        TRUE, 0.7
     "&amp;" ),
      VALUE(INDEX(SPLIT(K502,""-""),2))
    ),
    VALUE(INDEX(SPLIT(K502,""-""),1))
  )
)"),126.0)</f>
        <v>126</v>
      </c>
      <c r="J502" s="25">
        <f>I502*(VLOOKUP(C502,'Rev_Mapping Table'!$A$1:$C$12,3,0))</f>
        <v>71064000</v>
      </c>
      <c r="K502" s="24" t="s">
        <v>32</v>
      </c>
      <c r="L502" s="26">
        <v>0.04</v>
      </c>
      <c r="M502" s="27" t="str">
        <f>VLOOKUP(B502,Master_Mapper!$A$2:$C$628,3,0)</f>
        <v>Pamlico Capital</v>
      </c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</row>
    <row r="503">
      <c r="A503" s="13" t="b">
        <v>1</v>
      </c>
      <c r="B503" s="14" t="s">
        <v>804</v>
      </c>
      <c r="C503" s="13" t="str">
        <f>vlookup(B503,Vert_Mapper!$A$2:$C$567,2,0)</f>
        <v>Consumer Discretionary</v>
      </c>
      <c r="D503" s="13" t="str">
        <f>vlookup(B503,Vert_Mapper!$A$2:$C$567,3,0)</f>
        <v>Automotive Services</v>
      </c>
      <c r="E503" s="13" t="s">
        <v>26</v>
      </c>
      <c r="F503" s="13" t="s">
        <v>18</v>
      </c>
      <c r="G503" s="13" t="str">
        <f t="shared" si="1"/>
        <v>DECLINING</v>
      </c>
      <c r="H503" s="13" t="s">
        <v>805</v>
      </c>
      <c r="I503" s="16">
        <f>IFERROR(__xludf.DUMMYFUNCTION("ROUND(
  MAX(
    MIN(
      (
        (VALUE(INDEX(SPLIT(K503,""-""),1)) + VALUE(INDEX(SPLIT(K503,""-""),2))) / 2
      ) *
      IFS(
        L503&gt;0.4, 1.6,
        L503&gt;0.1, 1.3,
        L503&gt;=-0.05, 1,
        L503&gt;=-0.2, 0.85,
        TRUE, 0.7
     "&amp;" ),
      VALUE(INDEX(SPLIT(K503,""-""),2))
    ),
    VALUE(INDEX(SPLIT(K503,""-""),1))
  )
)"),751.0)</f>
        <v>751</v>
      </c>
      <c r="J503" s="17">
        <f>I503*(VLOOKUP(C503,'Rev_Mapping Table'!$A$1:$C$12,3,0))</f>
        <v>384512000</v>
      </c>
      <c r="K503" s="16" t="s">
        <v>54</v>
      </c>
      <c r="L503" s="18">
        <v>-0.03</v>
      </c>
      <c r="M503" s="19" t="str">
        <f>VLOOKUP(B503,Master_Mapper!$A$2:$C$628,3,0)</f>
        <v>VentureSouth</v>
      </c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</row>
    <row r="504">
      <c r="A504" s="21" t="b">
        <v>1</v>
      </c>
      <c r="B504" s="31" t="s">
        <v>806</v>
      </c>
      <c r="C504" s="21" t="str">
        <f>vlookup(B504,Vert_Mapper!$A$2:$C$567,2,0)</f>
        <v>Information Technology</v>
      </c>
      <c r="D504" s="21" t="str">
        <f>vlookup(B504,Vert_Mapper!$A$2:$C$567,3,0)</f>
        <v>Human Resources Technology</v>
      </c>
      <c r="E504" s="21" t="s">
        <v>26</v>
      </c>
      <c r="F504" s="21" t="s">
        <v>18</v>
      </c>
      <c r="G504" s="21" t="str">
        <f t="shared" si="1"/>
        <v>DECLINING</v>
      </c>
      <c r="H504" s="21" t="s">
        <v>92</v>
      </c>
      <c r="I504" s="24">
        <f>IFERROR(__xludf.DUMMYFUNCTION("ROUND(
  MAX(
    MIN(
      (
        (VALUE(INDEX(SPLIT(K504,""-""),1)) + VALUE(INDEX(SPLIT(K504,""-""),2))) / 2
      ) *
      IFS(
        L504&gt;0.4, 1.6,
        L504&gt;0.1, 1.3,
        L504&gt;=-0.05, 1,
        L504&gt;=-0.2, 0.85,
        TRUE, 0.7
     "&amp;" ),
      VALUE(INDEX(SPLIT(K504,""-""),2))
    ),
    VALUE(INDEX(SPLIT(K504,""-""),1))
  )
)"),26.0)</f>
        <v>26</v>
      </c>
      <c r="J504" s="25">
        <f>I504*(VLOOKUP(C504,'Rev_Mapping Table'!$A$1:$C$12,3,0))</f>
        <v>14664000</v>
      </c>
      <c r="K504" s="24" t="s">
        <v>25</v>
      </c>
      <c r="L504" s="26">
        <v>-0.16</v>
      </c>
      <c r="M504" s="27" t="str">
        <f>VLOOKUP(B504,Master_Mapper!$A$2:$C$628,3,0)</f>
        <v>VentureSouth</v>
      </c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</row>
    <row r="505">
      <c r="A505" s="13" t="b">
        <v>0</v>
      </c>
      <c r="B505" s="14" t="s">
        <v>807</v>
      </c>
      <c r="C505" s="13" t="str">
        <f>vlookup(B505,Vert_Mapper!$A$2:$C$567,2,0)</f>
        <v>Industrials</v>
      </c>
      <c r="D505" s="13" t="str">
        <f>vlookup(B505,Vert_Mapper!$A$2:$C$567,3,0)</f>
        <v>Home Services / Construction / Industrial Services</v>
      </c>
      <c r="E505" s="13" t="s">
        <v>26</v>
      </c>
      <c r="F505" s="13" t="s">
        <v>18</v>
      </c>
      <c r="G505" s="13" t="str">
        <f t="shared" si="1"/>
        <v>GROWTH PHASE</v>
      </c>
      <c r="H505" s="13" t="s">
        <v>808</v>
      </c>
      <c r="I505" s="16">
        <f>IFERROR(__xludf.DUMMYFUNCTION("ROUND(
  MAX(
    MIN(
      (
        (VALUE(INDEX(SPLIT(K505,""-""),1)) + VALUE(INDEX(SPLIT(K505,""-""),2))) / 2
      ) *
      IFS(
        L505&gt;0.4, 1.6,
        L505&gt;0.1, 1.3,
        L505&gt;=-0.05, 1,
        L505&gt;=-0.2, 0.85,
        TRUE, 0.7
     "&amp;" ),
      VALUE(INDEX(SPLIT(K505,""-""),2))
    ),
    VALUE(INDEX(SPLIT(K505,""-""),1))
  )
)"),351.0)</f>
        <v>351</v>
      </c>
      <c r="J505" s="17">
        <f>I505*(VLOOKUP(C505,'Rev_Mapping Table'!$A$1:$C$12,3,0))</f>
        <v>173043000</v>
      </c>
      <c r="K505" s="16" t="s">
        <v>20</v>
      </c>
      <c r="L505" s="18">
        <v>0.1</v>
      </c>
      <c r="M505" s="19" t="str">
        <f>VLOOKUP(B505,Master_Mapper!$A$2:$C$628,3,0)</f>
        <v>Summit Park</v>
      </c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</row>
    <row r="506">
      <c r="A506" s="21" t="b">
        <v>0</v>
      </c>
      <c r="B506" s="31" t="s">
        <v>809</v>
      </c>
      <c r="C506" s="21" t="str">
        <f>vlookup(B506,Vert_Mapper!$A$2:$C$567,2,0)</f>
        <v>Consumer Discretionary</v>
      </c>
      <c r="D506" s="21" t="str">
        <f>vlookup(B506,Vert_Mapper!$A$2:$C$567,3,0)</f>
        <v>Restaurants &amp; Food Services</v>
      </c>
      <c r="E506" s="21" t="s">
        <v>26</v>
      </c>
      <c r="F506" s="21" t="s">
        <v>18</v>
      </c>
      <c r="G506" s="21" t="str">
        <f t="shared" si="1"/>
        <v>SEVERELY NEGATIVE</v>
      </c>
      <c r="H506" s="21" t="s">
        <v>167</v>
      </c>
      <c r="I506" s="24">
        <f>IFERROR(__xludf.DUMMYFUNCTION("ROUND(
  MAX(
    MIN(
      (
        (VALUE(INDEX(SPLIT(K506,""-""),1)) + VALUE(INDEX(SPLIT(K506,""-""),2))) / 2
      ) *
      IFS(
        L506&gt;0.4, 1.6,
        L506&gt;0.1, 1.3,
        L506&gt;=-0.05, 1,
        L506&gt;=-0.2, 0.85,
        TRUE, 0.7
     "&amp;" ),
      VALUE(INDEX(SPLIT(K506,""-""),2))
    ),
    VALUE(INDEX(SPLIT(K506,""-""),1))
  )
)"),4.0)</f>
        <v>4</v>
      </c>
      <c r="J506" s="25">
        <f>I506*(VLOOKUP(C506,'Rev_Mapping Table'!$A$1:$C$12,3,0))</f>
        <v>2048000</v>
      </c>
      <c r="K506" s="32">
        <v>45698.0</v>
      </c>
      <c r="L506" s="26">
        <v>-0.36</v>
      </c>
      <c r="M506" s="27" t="str">
        <f>VLOOKUP(B506,Master_Mapper!$A$2:$C$628,3,0)</f>
        <v>Hargett Hunter</v>
      </c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</row>
    <row r="507">
      <c r="A507" s="13" t="b">
        <v>0</v>
      </c>
      <c r="B507" s="14" t="s">
        <v>810</v>
      </c>
      <c r="C507" s="13" t="str">
        <f>vlookup(B507,Vert_Mapper!$A$2:$C$567,2,0)</f>
        <v>Healthcare</v>
      </c>
      <c r="D507" s="13" t="str">
        <f>vlookup(B507,Vert_Mapper!$A$2:$C$567,3,0)</f>
        <v>Healthcare Technology &amp; Analytics</v>
      </c>
      <c r="E507" s="13" t="s">
        <v>26</v>
      </c>
      <c r="F507" s="13" t="s">
        <v>18</v>
      </c>
      <c r="G507" s="13" t="str">
        <f t="shared" si="1"/>
        <v>DECLINING</v>
      </c>
      <c r="H507" s="13" t="s">
        <v>68</v>
      </c>
      <c r="I507" s="16">
        <f>IFERROR(__xludf.DUMMYFUNCTION("ROUND(
  MAX(
    MIN(
      (
        (VALUE(INDEX(SPLIT(K507,""-""),1)) + VALUE(INDEX(SPLIT(K507,""-""),2))) / 2
      ) *
      IFS(
        L507&gt;0.4, 1.6,
        L507&gt;0.1, 1.3,
        L507&gt;=-0.05, 1,
        L507&gt;=-0.2, 0.85,
        TRUE, 0.7
     "&amp;" ),
      VALUE(INDEX(SPLIT(K507,""-""),2))
    ),
    VALUE(INDEX(SPLIT(K507,""-""),1))
  )
)"),107.0)</f>
        <v>107</v>
      </c>
      <c r="J507" s="17">
        <f>I507*(VLOOKUP(C507,'Rev_Mapping Table'!$A$1:$C$12,3,0))</f>
        <v>59492000</v>
      </c>
      <c r="K507" s="16" t="s">
        <v>32</v>
      </c>
      <c r="L507" s="18">
        <v>-0.07</v>
      </c>
      <c r="M507" s="19" t="str">
        <f>VLOOKUP(B507,Master_Mapper!$A$2:$C$628,3,0)</f>
        <v>Cerity Partners</v>
      </c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</row>
    <row r="508">
      <c r="A508" s="21" t="b">
        <v>0</v>
      </c>
      <c r="B508" s="31" t="s">
        <v>811</v>
      </c>
      <c r="C508" s="21" t="str">
        <f>vlookup(B508,Vert_Mapper!$A$2:$C$567,2,0)</f>
        <v>Information Technology</v>
      </c>
      <c r="D508" s="21" t="str">
        <f>vlookup(B508,Vert_Mapper!$A$2:$C$567,3,0)</f>
        <v>Legal Technology</v>
      </c>
      <c r="E508" s="21" t="s">
        <v>26</v>
      </c>
      <c r="F508" s="21" t="s">
        <v>18</v>
      </c>
      <c r="G508" s="21" t="str">
        <f t="shared" si="1"/>
        <v>ACCELERATED GROWTH</v>
      </c>
      <c r="H508" s="21" t="s">
        <v>167</v>
      </c>
      <c r="I508" s="24">
        <f>IFERROR(__xludf.DUMMYFUNCTION("ROUND(
  MAX(
    MIN(
      (
        (VALUE(INDEX(SPLIT(K508,""-""),1)) + VALUE(INDEX(SPLIT(K508,""-""),2))) / 2
      ) *
      IFS(
        L508&gt;0.4, 1.6,
        L508&gt;0.1, 1.3,
        L508&gt;=-0.05, 1,
        L508&gt;=-0.2, 0.85,
        TRUE, 0.7
     "&amp;" ),
      VALUE(INDEX(SPLIT(K508,""-""),2))
    ),
    VALUE(INDEX(SPLIT(K508,""-""),1))
  )
)"),456.0)</f>
        <v>456</v>
      </c>
      <c r="J508" s="25">
        <f>I508*(VLOOKUP(C508,'Rev_Mapping Table'!$A$1:$C$12,3,0))</f>
        <v>257184000</v>
      </c>
      <c r="K508" s="24" t="s">
        <v>20</v>
      </c>
      <c r="L508" s="26">
        <v>0.22</v>
      </c>
      <c r="M508" s="27" t="str">
        <f>VLOOKUP(B508,Master_Mapper!$A$2:$C$628,3,0)</f>
        <v>Cerity Partners</v>
      </c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</row>
    <row r="509">
      <c r="A509" s="13" t="b">
        <v>0</v>
      </c>
      <c r="B509" s="14" t="s">
        <v>812</v>
      </c>
      <c r="C509" s="13" t="str">
        <f>vlookup(B509,Vert_Mapper!$A$2:$C$567,2,0)</f>
        <v>Consumer Discretionary</v>
      </c>
      <c r="D509" s="13" t="str">
        <f>vlookup(B509,Vert_Mapper!$A$2:$C$567,3,0)</f>
        <v>Consumer Products</v>
      </c>
      <c r="E509" s="13" t="s">
        <v>26</v>
      </c>
      <c r="F509" s="13" t="s">
        <v>18</v>
      </c>
      <c r="G509" s="13" t="str">
        <f t="shared" si="1"/>
        <v>DECLINING</v>
      </c>
      <c r="H509" s="13" t="s">
        <v>248</v>
      </c>
      <c r="I509" s="16">
        <f>IFERROR(__xludf.DUMMYFUNCTION("ROUND(
  MAX(
    MIN(
      (
        (VALUE(INDEX(SPLIT(K509,""-""),1)) + VALUE(INDEX(SPLIT(K509,""-""),2))) / 2
      ) *
      IFS(
        L509&gt;0.4, 1.6,
        L509&gt;0.1, 1.3,
        L509&gt;=-0.05, 1,
        L509&gt;=-0.2, 0.85,
        TRUE, 0.7
     "&amp;" ),
      VALUE(INDEX(SPLIT(K509,""-""),2))
    ),
    VALUE(INDEX(SPLIT(K509,""-""),1))
  )
)"),126.0)</f>
        <v>126</v>
      </c>
      <c r="J509" s="17">
        <f>I509*(VLOOKUP(C509,'Rev_Mapping Table'!$A$1:$C$12,3,0))</f>
        <v>64512000</v>
      </c>
      <c r="K509" s="16" t="s">
        <v>32</v>
      </c>
      <c r="L509" s="18">
        <v>-0.02</v>
      </c>
      <c r="M509" s="19" t="str">
        <f>VLOOKUP(B509,Master_Mapper!$A$2:$C$628,3,0)</f>
        <v>Halifax Group</v>
      </c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</row>
    <row r="510">
      <c r="A510" s="21" t="b">
        <v>0</v>
      </c>
      <c r="B510" s="31" t="s">
        <v>813</v>
      </c>
      <c r="C510" s="21" t="str">
        <f>vlookup(B510,Vert_Mapper!$A$2:$C$567,2,0)</f>
        <v>Consumer Discretionary</v>
      </c>
      <c r="D510" s="21" t="str">
        <f>vlookup(B510,Vert_Mapper!$A$2:$C$567,3,0)</f>
        <v>Consumer Products</v>
      </c>
      <c r="E510" s="21" t="s">
        <v>26</v>
      </c>
      <c r="F510" s="21" t="s">
        <v>18</v>
      </c>
      <c r="G510" s="21" t="str">
        <f t="shared" si="1"/>
        <v>GROWTH PHASE</v>
      </c>
      <c r="H510" s="21" t="s">
        <v>427</v>
      </c>
      <c r="I510" s="24">
        <f>IFERROR(__xludf.DUMMYFUNCTION("ROUND(
  MAX(
    MIN(
      (
        (VALUE(INDEX(SPLIT(K510,""-""),1)) + VALUE(INDEX(SPLIT(K510,""-""),2))) / 2
      ) *
      IFS(
        L510&gt;0.4, 1.6,
        L510&gt;0.1, 1.3,
        L510&gt;=-0.05, 1,
        L510&gt;=-0.2, 0.85,
        TRUE, 0.7
     "&amp;" ),
      VALUE(INDEX(SPLIT(K510,""-""),2))
    ),
    VALUE(INDEX(SPLIT(K510,""-""),1))
  )
)"),40.0)</f>
        <v>40</v>
      </c>
      <c r="J510" s="25">
        <f>I510*(VLOOKUP(C510,'Rev_Mapping Table'!$A$1:$C$12,3,0))</f>
        <v>20480000</v>
      </c>
      <c r="K510" s="24" t="s">
        <v>25</v>
      </c>
      <c r="L510" s="26">
        <v>0.19</v>
      </c>
      <c r="M510" s="27" t="str">
        <f>VLOOKUP(B510,Master_Mapper!$A$2:$C$628,3,0)</f>
        <v>Succession Capital Partners</v>
      </c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</row>
    <row r="511">
      <c r="A511" s="13" t="b">
        <v>0</v>
      </c>
      <c r="B511" s="14" t="s">
        <v>814</v>
      </c>
      <c r="C511" s="13" t="str">
        <f>vlookup(B511,Vert_Mapper!$A$2:$C$567,2,0)</f>
        <v>Consumer Discretionary</v>
      </c>
      <c r="D511" s="13" t="str">
        <f>vlookup(B511,Vert_Mapper!$A$2:$C$567,3,0)</f>
        <v>Education &amp; Training</v>
      </c>
      <c r="E511" s="13" t="s">
        <v>26</v>
      </c>
      <c r="F511" s="13" t="s">
        <v>18</v>
      </c>
      <c r="G511" s="13" t="str">
        <f t="shared" si="1"/>
        <v>ACCELERATED GROWTH</v>
      </c>
      <c r="H511" s="13" t="s">
        <v>125</v>
      </c>
      <c r="I511" s="16">
        <f>IFERROR(__xludf.DUMMYFUNCTION("ROUND(
  MAX(
    MIN(
      (
        (VALUE(INDEX(SPLIT(K511,""-""),1)) + VALUE(INDEX(SPLIT(K511,""-""),2))) / 2
      ) *
      IFS(
        L511&gt;0.4, 1.6,
        L511&gt;0.1, 1.3,
        L511&gt;=-0.05, 1,
        L511&gt;=-0.2, 0.85,
        TRUE, 0.7
     "&amp;" ),
      VALUE(INDEX(SPLIT(K511,""-""),2))
    ),
    VALUE(INDEX(SPLIT(K511,""-""),1))
  )
)"),200.0)</f>
        <v>200</v>
      </c>
      <c r="J511" s="17">
        <f>I511*(VLOOKUP(C511,'Rev_Mapping Table'!$A$1:$C$12,3,0))</f>
        <v>102400000</v>
      </c>
      <c r="K511" s="16" t="s">
        <v>32</v>
      </c>
      <c r="L511" s="18">
        <v>0.57</v>
      </c>
      <c r="M511" s="19" t="str">
        <f>VLOOKUP(B511,Master_Mapper!$A$2:$C$628,3,0)</f>
        <v>Halifax Group</v>
      </c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</row>
    <row r="512">
      <c r="A512" s="21" t="b">
        <v>0</v>
      </c>
      <c r="B512" s="31" t="s">
        <v>815</v>
      </c>
      <c r="C512" s="21" t="str">
        <f>vlookup(B512,Vert_Mapper!$A$2:$C$567,2,0)</f>
        <v>Financials</v>
      </c>
      <c r="D512" s="21" t="str">
        <f>vlookup(B512,Vert_Mapper!$A$2:$C$567,3,0)</f>
        <v>Financial Technology &amp; Investment Services</v>
      </c>
      <c r="E512" s="21" t="s">
        <v>26</v>
      </c>
      <c r="F512" s="21" t="s">
        <v>30</v>
      </c>
      <c r="G512" s="21" t="str">
        <f t="shared" si="1"/>
        <v>ACCELERATED GROWTH</v>
      </c>
      <c r="H512" s="21" t="s">
        <v>24</v>
      </c>
      <c r="I512" s="24" t="str">
        <f>IFERROR(__xludf.DUMMYFUNCTION("ROUND(
  MAX(
    MIN(
      (
        (VALUE(INDEX(SPLIT(K512,""-""),1)) + VALUE(INDEX(SPLIT(K512,""-""),2))) / 2
      ) *
      IFS(
        L512&gt;0.4, 1.6,
        L512&gt;0.1, 1.3,
        L512&gt;=-0.05, 1,
        L512&gt;=-0.2, 0.85,
        TRUE, 0.7
     "&amp;" ),
      VALUE(INDEX(SPLIT(K512,""-""),2))
    ),
    VALUE(INDEX(SPLIT(K512,""-""),1))
  )
)"),"#VALUE!")</f>
        <v>#VALUE!</v>
      </c>
      <c r="J512" s="25" t="str">
        <f>I512*(VLOOKUP(C512,'Rev_Mapping Table'!$A$1:$C$12,3,0))</f>
        <v>#VALUE!</v>
      </c>
      <c r="K512" s="24" t="s">
        <v>816</v>
      </c>
      <c r="L512" s="26">
        <v>0.23</v>
      </c>
      <c r="M512" s="27" t="str">
        <f>VLOOKUP(B512,Master_Mapper!$A$2:$C$628,3,0)</f>
        <v>Vibora Capital</v>
      </c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</row>
    <row r="513">
      <c r="A513" s="13" t="b">
        <v>0</v>
      </c>
      <c r="B513" s="14" t="s">
        <v>817</v>
      </c>
      <c r="C513" s="13" t="str">
        <f>vlookup(B513,Vert_Mapper!$A$2:$C$567,2,0)</f>
        <v>Real Estate</v>
      </c>
      <c r="D513" s="13" t="str">
        <f>vlookup(B513,Vert_Mapper!$A$2:$C$567,3,0)</f>
        <v>Property Management &amp; Services</v>
      </c>
      <c r="E513" s="13" t="s">
        <v>26</v>
      </c>
      <c r="F513" s="13" t="s">
        <v>18</v>
      </c>
      <c r="G513" s="13" t="str">
        <f t="shared" si="1"/>
        <v>GROWTH PHASE</v>
      </c>
      <c r="H513" s="13" t="s">
        <v>24</v>
      </c>
      <c r="I513" s="16">
        <f>IFERROR(__xludf.DUMMYFUNCTION("ROUND(
  MAX(
    MIN(
      (
        (VALUE(INDEX(SPLIT(K513,""-""),1)) + VALUE(INDEX(SPLIT(K513,""-""),2))) / 2
      ) *
      IFS(
        L513&gt;0.4, 1.6,
        L513&gt;0.1, 1.3,
        L513&gt;=-0.05, 1,
        L513&gt;=-0.2, 0.85,
        TRUE, 0.7
     "&amp;" ),
      VALUE(INDEX(SPLIT(K513,""-""),2))
    ),
    VALUE(INDEX(SPLIT(K513,""-""),1))
  )
)"),163.0)</f>
        <v>163</v>
      </c>
      <c r="J513" s="17">
        <f>I513*(VLOOKUP(C513,'Rev_Mapping Table'!$A$1:$C$12,3,0))</f>
        <v>74980000</v>
      </c>
      <c r="K513" s="16" t="s">
        <v>32</v>
      </c>
      <c r="L513" s="18">
        <v>0.17</v>
      </c>
      <c r="M513" s="19" t="str">
        <f>VLOOKUP(B513,Master_Mapper!$A$2:$C$628,3,0)</f>
        <v>Cerity Partners</v>
      </c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</row>
    <row r="514">
      <c r="A514" s="21" t="b">
        <v>0</v>
      </c>
      <c r="B514" s="31" t="s">
        <v>818</v>
      </c>
      <c r="C514" s="21" t="str">
        <f>vlookup(B514,Vert_Mapper!$A$2:$C$567,2,0)</f>
        <v>Consumer Discretionary</v>
      </c>
      <c r="D514" s="21" t="str">
        <f>vlookup(B514,Vert_Mapper!$A$2:$C$567,3,0)</f>
        <v>Retail &amp; E-commerce</v>
      </c>
      <c r="E514" s="21" t="s">
        <v>26</v>
      </c>
      <c r="F514" s="21" t="s">
        <v>18</v>
      </c>
      <c r="G514" s="21" t="str">
        <f t="shared" si="1"/>
        <v>DECLINING</v>
      </c>
      <c r="H514" s="21" t="s">
        <v>167</v>
      </c>
      <c r="I514" s="24">
        <f>IFERROR(__xludf.DUMMYFUNCTION("ROUND(
  MAX(
    MIN(
      (
        (VALUE(INDEX(SPLIT(K514,""-""),1)) + VALUE(INDEX(SPLIT(K514,""-""),2))) / 2
      ) *
      IFS(
        L514&gt;0.4, 1.6,
        L514&gt;0.1, 1.3,
        L514&gt;=-0.05, 1,
        L514&gt;=-0.2, 0.85,
        TRUE, 0.7
     "&amp;" ),
      VALUE(INDEX(SPLIT(K514,""-""),2))
    ),
    VALUE(INDEX(SPLIT(K514,""-""),1))
  )
)"),126.0)</f>
        <v>126</v>
      </c>
      <c r="J514" s="25">
        <f>I514*(VLOOKUP(C514,'Rev_Mapping Table'!$A$1:$C$12,3,0))</f>
        <v>64512000</v>
      </c>
      <c r="K514" s="24" t="s">
        <v>32</v>
      </c>
      <c r="L514" s="26">
        <v>-0.04</v>
      </c>
      <c r="M514" s="27" t="str">
        <f>VLOOKUP(B514,Master_Mapper!$A$2:$C$628,3,0)</f>
        <v>Vibora Capital</v>
      </c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</row>
    <row r="515">
      <c r="A515" s="13" t="b">
        <v>0</v>
      </c>
      <c r="B515" s="14" t="s">
        <v>819</v>
      </c>
      <c r="C515" s="13" t="str">
        <f>vlookup(B515,Vert_Mapper!$A$2:$C$567,2,0)</f>
        <v>Industrials</v>
      </c>
      <c r="D515" s="13" t="str">
        <f>vlookup(B515,Vert_Mapper!$A$2:$C$567,3,0)</f>
        <v>Home Services / Construction / Industrial Services</v>
      </c>
      <c r="E515" s="13" t="s">
        <v>26</v>
      </c>
      <c r="F515" s="13" t="s">
        <v>18</v>
      </c>
      <c r="G515" s="13" t="str">
        <f t="shared" si="1"/>
        <v>GROWTH PHASE</v>
      </c>
      <c r="H515" s="13" t="s">
        <v>117</v>
      </c>
      <c r="I515" s="16">
        <f>IFERROR(__xludf.DUMMYFUNCTION("ROUND(
  MAX(
    MIN(
      (
        (VALUE(INDEX(SPLIT(K515,""-""),1)) + VALUE(INDEX(SPLIT(K515,""-""),2))) / 2
      ) *
      IFS(
        L515&gt;0.4, 1.6,
        L515&gt;0.1, 1.3,
        L515&gt;=-0.05, 1,
        L515&gt;=-0.2, 0.85,
        TRUE, 0.7
     "&amp;" ),
      VALUE(INDEX(SPLIT(K515,""-""),2))
    ),
    VALUE(INDEX(SPLIT(K515,""-""),1))
  )
)"),126.0)</f>
        <v>126</v>
      </c>
      <c r="J515" s="17">
        <f>I515*(VLOOKUP(C515,'Rev_Mapping Table'!$A$1:$C$12,3,0))</f>
        <v>62118000</v>
      </c>
      <c r="K515" s="16" t="s">
        <v>32</v>
      </c>
      <c r="L515" s="18">
        <v>0.06</v>
      </c>
      <c r="M515" s="19" t="str">
        <f>VLOOKUP(B515,Master_Mapper!$A$2:$C$628,3,0)</f>
        <v>Route 2 Capital Partners</v>
      </c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</row>
    <row r="516">
      <c r="A516" s="21" t="b">
        <v>0</v>
      </c>
      <c r="B516" s="31" t="s">
        <v>820</v>
      </c>
      <c r="C516" s="21" t="str">
        <f>vlookup(B516,Vert_Mapper!$A$2:$C$567,2,0)</f>
        <v>Healthcare</v>
      </c>
      <c r="D516" s="21" t="str">
        <f>vlookup(B516,Vert_Mapper!$A$2:$C$567,3,0)</f>
        <v>Healthcare Technology &amp; Analytics</v>
      </c>
      <c r="E516" s="21" t="s">
        <v>26</v>
      </c>
      <c r="F516" s="21" t="s">
        <v>18</v>
      </c>
      <c r="G516" s="21" t="str">
        <f t="shared" si="1"/>
        <v>FLAT TO NEUTRAL</v>
      </c>
      <c r="H516" s="21" t="s">
        <v>821</v>
      </c>
      <c r="I516" s="24">
        <f>IFERROR(__xludf.DUMMYFUNCTION("ROUND(
  MAX(
    MIN(
      (
        (VALUE(INDEX(SPLIT(K516,""-""),1)) + VALUE(INDEX(SPLIT(K516,""-""),2))) / 2
      ) *
      IFS(
        L516&gt;0.4, 1.6,
        L516&gt;0.1, 1.3,
        L516&gt;=-0.05, 1,
        L516&gt;=-0.2, 0.85,
        TRUE, 0.7
     "&amp;" ),
      VALUE(INDEX(SPLIT(K516,""-""),2))
    ),
    VALUE(INDEX(SPLIT(K516,""-""),1))
  )
)"),6.0)</f>
        <v>6</v>
      </c>
      <c r="J516" s="25">
        <f>I516*(VLOOKUP(C516,'Rev_Mapping Table'!$A$1:$C$12,3,0))</f>
        <v>3336000</v>
      </c>
      <c r="K516" s="32">
        <v>45698.0</v>
      </c>
      <c r="L516" s="26">
        <v>0.0</v>
      </c>
      <c r="M516" s="27" t="str">
        <f>VLOOKUP(B516,Master_Mapper!$A$2:$C$628,3,0)</f>
        <v>Vibora Capital</v>
      </c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</row>
    <row r="517">
      <c r="A517" s="13" t="b">
        <v>0</v>
      </c>
      <c r="B517" s="14" t="s">
        <v>822</v>
      </c>
      <c r="C517" s="13" t="str">
        <f>vlookup(B517,Vert_Mapper!$A$2:$C$567,2,0)</f>
        <v>Communications</v>
      </c>
      <c r="D517" s="13" t="str">
        <f>vlookup(B517,Vert_Mapper!$A$2:$C$567,3,0)</f>
        <v>Marketing &amp; Advertising</v>
      </c>
      <c r="E517" s="13" t="s">
        <v>26</v>
      </c>
      <c r="F517" s="13" t="s">
        <v>18</v>
      </c>
      <c r="G517" s="13" t="str">
        <f t="shared" si="1"/>
        <v>GROWTH PHASE</v>
      </c>
      <c r="H517" s="13" t="s">
        <v>83</v>
      </c>
      <c r="I517" s="16">
        <f>IFERROR(__xludf.DUMMYFUNCTION("ROUND(
  MAX(
    MIN(
      (
        (VALUE(INDEX(SPLIT(K517,""-""),1)) + VALUE(INDEX(SPLIT(K517,""-""),2))) / 2
      ) *
      IFS(
        L517&gt;0.4, 1.6,
        L517&gt;0.1, 1.3,
        L517&gt;=-0.05, 1,
        L517&gt;=-0.2, 0.85,
        TRUE, 0.7
     "&amp;" ),
      VALUE(INDEX(SPLIT(K517,""-""),2))
    ),
    VALUE(INDEX(SPLIT(K517,""-""),1))
  )
)"),31.0)</f>
        <v>31</v>
      </c>
      <c r="J517" s="17">
        <f>I517*(VLOOKUP(C517,'Rev_Mapping Table'!$A$1:$C$12,3,0))</f>
        <v>17484000</v>
      </c>
      <c r="K517" s="16" t="s">
        <v>25</v>
      </c>
      <c r="L517" s="18">
        <v>0.07</v>
      </c>
      <c r="M517" s="19" t="str">
        <f>VLOOKUP(B517,Master_Mapper!$A$2:$C$628,3,0)</f>
        <v>VentureSouth</v>
      </c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</row>
    <row r="518">
      <c r="A518" s="21" t="b">
        <v>0</v>
      </c>
      <c r="B518" s="31" t="s">
        <v>823</v>
      </c>
      <c r="C518" s="21" t="str">
        <f>vlookup(B518,Vert_Mapper!$A$2:$C$567,2,0)</f>
        <v>Industrials</v>
      </c>
      <c r="D518" s="21" t="str">
        <f>vlookup(B518,Vert_Mapper!$A$2:$C$567,3,0)</f>
        <v>Aerospace and Defense</v>
      </c>
      <c r="E518" s="21" t="s">
        <v>26</v>
      </c>
      <c r="F518" s="21" t="s">
        <v>18</v>
      </c>
      <c r="G518" s="21" t="str">
        <f t="shared" si="1"/>
        <v>GROWTH PHASE</v>
      </c>
      <c r="H518" s="21" t="s">
        <v>824</v>
      </c>
      <c r="I518" s="24">
        <f>IFERROR(__xludf.DUMMYFUNCTION("ROUND(
  MAX(
    MIN(
      (
        (VALUE(INDEX(SPLIT(K518,""-""),1)) + VALUE(INDEX(SPLIT(K518,""-""),2))) / 2
      ) *
      IFS(
        L518&gt;0.4, 1.6,
        L518&gt;0.1, 1.3,
        L518&gt;=-0.05, 1,
        L518&gt;=-0.2, 0.85,
        TRUE, 0.7
     "&amp;" ),
      VALUE(INDEX(SPLIT(K518,""-""),2))
    ),
    VALUE(INDEX(SPLIT(K518,""-""),1))
  )
)"),163.0)</f>
        <v>163</v>
      </c>
      <c r="J518" s="25">
        <f>I518*(VLOOKUP(C518,'Rev_Mapping Table'!$A$1:$C$12,3,0))</f>
        <v>80359000</v>
      </c>
      <c r="K518" s="24" t="s">
        <v>32</v>
      </c>
      <c r="L518" s="26">
        <v>0.12</v>
      </c>
      <c r="M518" s="27" t="str">
        <f>VLOOKUP(B518,Master_Mapper!$A$2:$C$628,3,0)</f>
        <v>Falfurrias Capital Partners</v>
      </c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</row>
    <row r="519">
      <c r="A519" s="13" t="b">
        <v>0</v>
      </c>
      <c r="B519" s="14" t="s">
        <v>825</v>
      </c>
      <c r="C519" s="13" t="str">
        <f>vlookup(B519,Vert_Mapper!$A$2:$C$567,2,0)</f>
        <v>Healthcare</v>
      </c>
      <c r="D519" s="13" t="str">
        <f>vlookup(B519,Vert_Mapper!$A$2:$C$567,3,0)</f>
        <v>Biotechnology &amp; Pharmaceuticals</v>
      </c>
      <c r="E519" s="13" t="s">
        <v>26</v>
      </c>
      <c r="F519" s="13" t="s">
        <v>18</v>
      </c>
      <c r="G519" s="13" t="str">
        <f t="shared" si="1"/>
        <v>ACCELERATED GROWTH</v>
      </c>
      <c r="H519" s="13" t="s">
        <v>317</v>
      </c>
      <c r="I519" s="16">
        <f>IFERROR(__xludf.DUMMYFUNCTION("ROUND(
  MAX(
    MIN(
      (
        (VALUE(INDEX(SPLIT(K519,""-""),1)) + VALUE(INDEX(SPLIT(K519,""-""),2))) / 2
      ) *
      IFS(
        L519&gt;0.4, 1.6,
        L519&gt;0.1, 1.3,
        L519&gt;=-0.05, 1,
        L519&gt;=-0.2, 0.85,
        TRUE, 0.7
     "&amp;" ),
      VALUE(INDEX(SPLIT(K519,""-""),2))
    ),
    VALUE(INDEX(SPLIT(K519,""-""),1))
  )
)"),49.0)</f>
        <v>49</v>
      </c>
      <c r="J519" s="17">
        <f>I519*(VLOOKUP(C519,'Rev_Mapping Table'!$A$1:$C$12,3,0))</f>
        <v>27244000</v>
      </c>
      <c r="K519" s="16" t="s">
        <v>25</v>
      </c>
      <c r="L519" s="18">
        <v>0.47</v>
      </c>
      <c r="M519" s="19" t="str">
        <f>VLOOKUP(B519,Master_Mapper!$A$2:$C$628,3,0)</f>
        <v>Cerity Partners</v>
      </c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</row>
    <row r="520">
      <c r="A520" s="21" t="b">
        <v>0</v>
      </c>
      <c r="B520" s="31" t="s">
        <v>826</v>
      </c>
      <c r="C520" s="21" t="str">
        <f>vlookup(B520,Vert_Mapper!$A$2:$C$567,2,0)</f>
        <v>Communications</v>
      </c>
      <c r="D520" s="21" t="str">
        <f>vlookup(B520,Vert_Mapper!$A$2:$C$567,3,0)</f>
        <v>Media &amp; Entertainment</v>
      </c>
      <c r="E520" s="21" t="s">
        <v>26</v>
      </c>
      <c r="F520" s="21" t="s">
        <v>18</v>
      </c>
      <c r="G520" s="21" t="str">
        <f t="shared" si="1"/>
        <v>GROWTH PHASE</v>
      </c>
      <c r="H520" s="21" t="s">
        <v>827</v>
      </c>
      <c r="I520" s="24">
        <f>IFERROR(__xludf.DUMMYFUNCTION("ROUND(
  MAX(
    MIN(
      (
        (VALUE(INDEX(SPLIT(K520,""-""),1)) + VALUE(INDEX(SPLIT(K520,""-""),2))) / 2
      ) *
      IFS(
        L520&gt;0.4, 1.6,
        L520&gt;0.1, 1.3,
        L520&gt;=-0.05, 1,
        L520&gt;=-0.2, 0.85,
        TRUE, 0.7
     "&amp;" ),
      VALUE(INDEX(SPLIT(K520,""-""),2))
    ),
    VALUE(INDEX(SPLIT(K520,""-""),1))
  )
)"),7501.0)</f>
        <v>7501</v>
      </c>
      <c r="J520" s="25">
        <f>I520*(VLOOKUP(C520,'Rev_Mapping Table'!$A$1:$C$12,3,0))</f>
        <v>4230564000</v>
      </c>
      <c r="K520" s="24" t="s">
        <v>81</v>
      </c>
      <c r="L520" s="26">
        <v>0.06</v>
      </c>
      <c r="M520" s="27" t="str">
        <f>VLOOKUP(B520,Master_Mapper!$A$2:$C$628,3,0)</f>
        <v>Cerity Partners</v>
      </c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</row>
    <row r="521">
      <c r="A521" s="13" t="b">
        <v>0</v>
      </c>
      <c r="B521" s="14" t="s">
        <v>828</v>
      </c>
      <c r="C521" s="13" t="str">
        <f>vlookup(B521,Vert_Mapper!$A$2:$C$567,2,0)</f>
        <v>Consumer Discretionary</v>
      </c>
      <c r="D521" s="13" t="str">
        <f>vlookup(B521,Vert_Mapper!$A$2:$C$567,3,0)</f>
        <v>Business Services</v>
      </c>
      <c r="E521" s="13" t="s">
        <v>26</v>
      </c>
      <c r="F521" s="13" t="s">
        <v>18</v>
      </c>
      <c r="G521" s="13" t="str">
        <f t="shared" si="1"/>
        <v>GROWTH PHASE</v>
      </c>
      <c r="H521" s="13" t="s">
        <v>100</v>
      </c>
      <c r="I521" s="16">
        <f>IFERROR(__xludf.DUMMYFUNCTION("ROUND(
  MAX(
    MIN(
      (
        (VALUE(INDEX(SPLIT(K521,""-""),1)) + VALUE(INDEX(SPLIT(K521,""-""),2))) / 2
      ) *
      IFS(
        L521&gt;0.4, 1.6,
        L521&gt;0.1, 1.3,
        L521&gt;=-0.05, 1,
        L521&gt;=-0.2, 0.85,
        TRUE, 0.7
     "&amp;" ),
      VALUE(INDEX(SPLIT(K521,""-""),2))
    ),
    VALUE(INDEX(SPLIT(K521,""-""),1))
  )
)"),163.0)</f>
        <v>163</v>
      </c>
      <c r="J521" s="17">
        <f>I521*(VLOOKUP(C521,'Rev_Mapping Table'!$A$1:$C$12,3,0))</f>
        <v>83456000</v>
      </c>
      <c r="K521" s="16" t="s">
        <v>32</v>
      </c>
      <c r="L521" s="18">
        <v>0.13</v>
      </c>
      <c r="M521" s="19" t="str">
        <f>VLOOKUP(B521,Master_Mapper!$A$2:$C$628,3,0)</f>
        <v>Route 2 Capital Partners</v>
      </c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</row>
    <row r="522">
      <c r="A522" s="21" t="b">
        <v>0</v>
      </c>
      <c r="B522" s="31" t="s">
        <v>829</v>
      </c>
      <c r="C522" s="21" t="str">
        <f>vlookup(B522,Vert_Mapper!$A$2:$C$567,2,0)</f>
        <v>Consumer Staples</v>
      </c>
      <c r="D522" s="21" t="str">
        <f>vlookup(B522,Vert_Mapper!$A$2:$C$567,3,0)</f>
        <v>Food &amp; Beverage Manufacturing</v>
      </c>
      <c r="E522" s="21" t="s">
        <v>26</v>
      </c>
      <c r="F522" s="21" t="s">
        <v>18</v>
      </c>
      <c r="G522" s="21" t="str">
        <f t="shared" si="1"/>
        <v>DECLINING</v>
      </c>
      <c r="H522" s="21" t="s">
        <v>608</v>
      </c>
      <c r="I522" s="24">
        <f>IFERROR(__xludf.DUMMYFUNCTION("ROUND(
  MAX(
    MIN(
      (
        (VALUE(INDEX(SPLIT(K522,""-""),1)) + VALUE(INDEX(SPLIT(K522,""-""),2))) / 2
      ) *
      IFS(
        L522&gt;0.4, 1.6,
        L522&gt;0.1, 1.3,
        L522&gt;=-0.05, 1,
        L522&gt;=-0.2, 0.85,
        TRUE, 0.7
     "&amp;" ),
      VALUE(INDEX(SPLIT(K522,""-""),2))
    ),
    VALUE(INDEX(SPLIT(K522,""-""),1))
  )
)"),126.0)</f>
        <v>126</v>
      </c>
      <c r="J522" s="25">
        <f>I522*(VLOOKUP(C522,'Rev_Mapping Table'!$A$1:$C$12,3,0))</f>
        <v>70056000</v>
      </c>
      <c r="K522" s="24" t="s">
        <v>32</v>
      </c>
      <c r="L522" s="26">
        <v>-0.04</v>
      </c>
      <c r="M522" s="27" t="str">
        <f>VLOOKUP(B522,Master_Mapper!$A$2:$C$628,3,0)</f>
        <v>Cerity Partners</v>
      </c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</row>
    <row r="523">
      <c r="A523" s="13" t="b">
        <v>0</v>
      </c>
      <c r="B523" s="14" t="s">
        <v>830</v>
      </c>
      <c r="C523" s="13" t="str">
        <f>vlookup(B523,Vert_Mapper!$A$2:$C$567,2,0)</f>
        <v>Consumer Discretionary</v>
      </c>
      <c r="D523" s="13" t="str">
        <f>vlookup(B523,Vert_Mapper!$A$2:$C$567,3,0)</f>
        <v>Restaurants &amp; Food Services</v>
      </c>
      <c r="E523" s="13" t="s">
        <v>26</v>
      </c>
      <c r="F523" s="13" t="s">
        <v>18</v>
      </c>
      <c r="G523" s="13" t="str">
        <f t="shared" si="1"/>
        <v>ACCELERATED GROWTH</v>
      </c>
      <c r="H523" s="13" t="s">
        <v>831</v>
      </c>
      <c r="I523" s="16">
        <f>IFERROR(__xludf.DUMMYFUNCTION("ROUND(
  MAX(
    MIN(
      (
        (VALUE(INDEX(SPLIT(K523,""-""),1)) + VALUE(INDEX(SPLIT(K523,""-""),2))) / 2
      ) *
      IFS(
        L523&gt;0.4, 1.6,
        L523&gt;0.1, 1.3,
        L523&gt;=-0.05, 1,
        L523&gt;=-0.2, 0.85,
        TRUE, 0.7
     "&amp;" ),
      VALUE(INDEX(SPLIT(K523,""-""),2))
    ),
    VALUE(INDEX(SPLIT(K523,""-""),1))
  )
)"),163.0)</f>
        <v>163</v>
      </c>
      <c r="J523" s="17">
        <f>I523*(VLOOKUP(C523,'Rev_Mapping Table'!$A$1:$C$12,3,0))</f>
        <v>83456000</v>
      </c>
      <c r="K523" s="16" t="s">
        <v>32</v>
      </c>
      <c r="L523" s="18">
        <v>0.26</v>
      </c>
      <c r="M523" s="19" t="str">
        <f>VLOOKUP(B523,Master_Mapper!$A$2:$C$628,3,0)</f>
        <v>Investors Management Corp (IMC)</v>
      </c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</row>
    <row r="524">
      <c r="A524" s="21" t="b">
        <v>0</v>
      </c>
      <c r="B524" s="31" t="s">
        <v>832</v>
      </c>
      <c r="C524" s="21" t="str">
        <f>vlookup(B524,Vert_Mapper!$A$2:$C$567,2,0)</f>
        <v>Healthcare</v>
      </c>
      <c r="D524" s="21" t="str">
        <f>vlookup(B524,Vert_Mapper!$A$2:$C$567,3,0)</f>
        <v>Biotechnology &amp; Pharmaceuticals</v>
      </c>
      <c r="E524" s="21" t="s">
        <v>26</v>
      </c>
      <c r="F524" s="21" t="s">
        <v>18</v>
      </c>
      <c r="G524" s="21" t="str">
        <f t="shared" si="1"/>
        <v>FLAT TO NEUTRAL</v>
      </c>
      <c r="H524" s="21" t="s">
        <v>638</v>
      </c>
      <c r="I524" s="24" t="str">
        <f>IFERROR(__xludf.DUMMYFUNCTION("ROUND(
  MAX(
    MIN(
      (
        (VALUE(INDEX(SPLIT(K524,""-""),1)) + VALUE(INDEX(SPLIT(K524,""-""),2))) / 2
      ) *
      IFS(
        L524&gt;0.4, 1.6,
        L524&gt;0.1, 1.3,
        L524&gt;=-0.05, 1,
        L524&gt;=-0.2, 0.85,
        TRUE, 0.7
     "&amp;" ),
      VALUE(INDEX(SPLIT(K524,""-""),2))
    ),
    VALUE(INDEX(SPLIT(K524,""-""),1))
  )
)"),"#VALUE!")</f>
        <v>#VALUE!</v>
      </c>
      <c r="J524" s="25" t="str">
        <f>I524*(VLOOKUP(C524,'Rev_Mapping Table'!$A$1:$C$12,3,0))</f>
        <v>#VALUE!</v>
      </c>
      <c r="K524" s="24" t="s">
        <v>450</v>
      </c>
      <c r="L524" s="26">
        <v>0.02</v>
      </c>
      <c r="M524" s="27" t="str">
        <f>VLOOKUP(B524,Master_Mapper!$A$2:$C$628,3,0)</f>
        <v>NovaQuest Capital Mgmt</v>
      </c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</row>
    <row r="525">
      <c r="A525" s="13" t="b">
        <v>0</v>
      </c>
      <c r="B525" s="14" t="s">
        <v>833</v>
      </c>
      <c r="C525" s="13" t="str">
        <f>vlookup(B525,Vert_Mapper!$A$2:$C$567,2,0)</f>
        <v>Information Technology</v>
      </c>
      <c r="D525" s="13" t="str">
        <f>vlookup(B525,Vert_Mapper!$A$2:$C$567,3,0)</f>
        <v>Human Resources Technology</v>
      </c>
      <c r="E525" s="13" t="s">
        <v>26</v>
      </c>
      <c r="F525" s="13" t="s">
        <v>18</v>
      </c>
      <c r="G525" s="13" t="str">
        <f t="shared" si="1"/>
        <v>FLAT TO NEUTRAL</v>
      </c>
      <c r="H525" s="13" t="s">
        <v>510</v>
      </c>
      <c r="I525" s="16">
        <f>IFERROR(__xludf.DUMMYFUNCTION("ROUND(
  MAX(
    MIN(
      (
        (VALUE(INDEX(SPLIT(K525,""-""),1)) + VALUE(INDEX(SPLIT(K525,""-""),2))) / 2
      ) *
      IFS(
        L525&gt;0.4, 1.6,
        L525&gt;0.1, 1.3,
        L525&gt;=-0.05, 1,
        L525&gt;=-0.2, 0.85,
        TRUE, 0.7
     "&amp;" ),
      VALUE(INDEX(SPLIT(K525,""-""),2))
    ),
    VALUE(INDEX(SPLIT(K525,""-""),1))
  )
)"),126.0)</f>
        <v>126</v>
      </c>
      <c r="J525" s="17">
        <f>I525*(VLOOKUP(C525,'Rev_Mapping Table'!$A$1:$C$12,3,0))</f>
        <v>71064000</v>
      </c>
      <c r="K525" s="16" t="s">
        <v>32</v>
      </c>
      <c r="L525" s="18">
        <v>0.0</v>
      </c>
      <c r="M525" s="19" t="str">
        <f>VLOOKUP(B525,Master_Mapper!$A$2:$C$628,3,0)</f>
        <v>S23 Holdings</v>
      </c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</row>
    <row r="526">
      <c r="A526" s="21" t="b">
        <v>0</v>
      </c>
      <c r="B526" s="31" t="s">
        <v>834</v>
      </c>
      <c r="C526" s="21" t="str">
        <f>vlookup(B526,Vert_Mapper!$A$2:$C$567,2,0)</f>
        <v>Industrials</v>
      </c>
      <c r="D526" s="21" t="str">
        <f>vlookup(B526,Vert_Mapper!$A$2:$C$567,3,0)</f>
        <v>Home Services / Construction / Industrial Services</v>
      </c>
      <c r="E526" s="21" t="s">
        <v>29</v>
      </c>
      <c r="F526" s="21" t="s">
        <v>34</v>
      </c>
      <c r="G526" s="21" t="str">
        <f t="shared" si="1"/>
        <v>FLAT TO NEUTRAL</v>
      </c>
      <c r="H526" s="21" t="s">
        <v>273</v>
      </c>
      <c r="I526" s="24">
        <f>IFERROR(__xludf.DUMMYFUNCTION("ROUND(
  MAX(
    MIN(
      (
        (VALUE(INDEX(SPLIT(K526,""-""),1)) + VALUE(INDEX(SPLIT(K526,""-""),2))) / 2
      ) *
      IFS(
        L526&gt;0.4, 1.6,
        L526&gt;0.1, 1.3,
        L526&gt;=-0.05, 1,
        L526&gt;=-0.2, 0.85,
        TRUE, 0.7
     "&amp;" ),
      VALUE(INDEX(SPLIT(K526,""-""),2))
    ),
    VALUE(INDEX(SPLIT(K526,""-""),1))
  )
)"),7501.0)</f>
        <v>7501</v>
      </c>
      <c r="J526" s="25">
        <f>I526*(VLOOKUP(C526,'Rev_Mapping Table'!$A$1:$C$12,3,0))</f>
        <v>3697993000</v>
      </c>
      <c r="K526" s="24" t="s">
        <v>81</v>
      </c>
      <c r="L526" s="26">
        <v>0.03</v>
      </c>
      <c r="M526" s="27" t="str">
        <f>VLOOKUP(B526,Master_Mapper!$A$2:$C$628,3,0)</f>
        <v>Succession Capital Partners</v>
      </c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</row>
    <row r="527">
      <c r="A527" s="13" t="b">
        <v>0</v>
      </c>
      <c r="B527" s="14" t="s">
        <v>835</v>
      </c>
      <c r="C527" s="13" t="str">
        <f>vlookup(B527,Vert_Mapper!$A$2:$C$567,2,0)</f>
        <v>Healthcare</v>
      </c>
      <c r="D527" s="13" t="str">
        <f>vlookup(B527,Vert_Mapper!$A$2:$C$567,3,0)</f>
        <v>Biotechnology &amp; Pharmaceuticals</v>
      </c>
      <c r="E527" s="13" t="s">
        <v>26</v>
      </c>
      <c r="F527" s="13" t="s">
        <v>18</v>
      </c>
      <c r="G527" s="13" t="str">
        <f t="shared" si="1"/>
        <v>FLAT TO NEUTRAL</v>
      </c>
      <c r="H527" s="13" t="s">
        <v>151</v>
      </c>
      <c r="I527" s="16">
        <f>IFERROR(__xludf.DUMMYFUNCTION("ROUND(
  MAX(
    MIN(
      (
        (VALUE(INDEX(SPLIT(K527,""-""),1)) + VALUE(INDEX(SPLIT(K527,""-""),2))) / 2
      ) *
      IFS(
        L527&gt;0.4, 1.6,
        L527&gt;0.1, 1.3,
        L527&gt;=-0.05, 1,
        L527&gt;=-0.2, 0.85,
        TRUE, 0.7
     "&amp;" ),
      VALUE(INDEX(SPLIT(K527,""-""),2))
    ),
    VALUE(INDEX(SPLIT(K527,""-""),1))
  )
)"),126.0)</f>
        <v>126</v>
      </c>
      <c r="J527" s="17">
        <f>I527*(VLOOKUP(C527,'Rev_Mapping Table'!$A$1:$C$12,3,0))</f>
        <v>70056000</v>
      </c>
      <c r="K527" s="16" t="s">
        <v>32</v>
      </c>
      <c r="L527" s="18">
        <v>0.02</v>
      </c>
      <c r="M527" s="19" t="str">
        <f>VLOOKUP(B527,Master_Mapper!$A$2:$C$628,3,0)</f>
        <v>NovaQuest Capital Mgmt</v>
      </c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</row>
    <row r="528">
      <c r="A528" s="21" t="b">
        <v>0</v>
      </c>
      <c r="B528" s="31" t="s">
        <v>836</v>
      </c>
      <c r="C528" s="21" t="str">
        <f>vlookup(B528,Vert_Mapper!$A$2:$C$567,2,0)</f>
        <v>Materials</v>
      </c>
      <c r="D528" s="21" t="str">
        <f>vlookup(B528,Vert_Mapper!$A$2:$C$567,3,0)</f>
        <v>Chemicals &amp; Petrochemicals</v>
      </c>
      <c r="E528" s="21" t="s">
        <v>65</v>
      </c>
      <c r="F528" s="21" t="s">
        <v>18</v>
      </c>
      <c r="G528" s="21" t="str">
        <f t="shared" si="1"/>
        <v>HYPERGROWTH</v>
      </c>
      <c r="H528" s="21" t="s">
        <v>837</v>
      </c>
      <c r="I528" s="24">
        <f>IFERROR(__xludf.DUMMYFUNCTION("ROUND(
  MAX(
    MIN(
      (
        (VALUE(INDEX(SPLIT(K528,""-""),1)) + VALUE(INDEX(SPLIT(K528,""-""),2))) / 2
      ) *
      IFS(
        L528&gt;0.4, 1.6,
        L528&gt;0.1, 1.3,
        L528&gt;=-0.05, 1,
        L528&gt;=-0.2, 0.85,
        TRUE, 0.7
     "&amp;" ),
      VALUE(INDEX(SPLIT(K528,""-""),2))
    ),
    VALUE(INDEX(SPLIT(K528,""-""),1))
  )
)"),49.0)</f>
        <v>49</v>
      </c>
      <c r="J528" s="25">
        <f>I528*(VLOOKUP(C528,'Rev_Mapping Table'!$A$1:$C$12,3,0))</f>
        <v>24157000</v>
      </c>
      <c r="K528" s="24" t="s">
        <v>25</v>
      </c>
      <c r="L528" s="26">
        <v>2.0</v>
      </c>
      <c r="M528" s="27" t="str">
        <f>VLOOKUP(B528,Master_Mapper!$A$2:$C$628,3,0)</f>
        <v>Tidewater Equity Partners</v>
      </c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</row>
    <row r="529">
      <c r="A529" s="13" t="b">
        <v>0</v>
      </c>
      <c r="B529" s="14" t="s">
        <v>838</v>
      </c>
      <c r="C529" s="13" t="str">
        <f>vlookup(B529,Vert_Mapper!$A$2:$C$567,2,0)</f>
        <v>Healthcare</v>
      </c>
      <c r="D529" s="13" t="str">
        <f>vlookup(B529,Vert_Mapper!$A$2:$C$567,3,0)</f>
        <v>Biotechnology &amp; Pharmaceuticals</v>
      </c>
      <c r="E529" s="13" t="s">
        <v>85</v>
      </c>
      <c r="F529" s="13" t="s">
        <v>86</v>
      </c>
      <c r="G529" s="13" t="str">
        <f t="shared" si="1"/>
        <v>GROWTH PHASE</v>
      </c>
      <c r="H529" s="13" t="s">
        <v>66</v>
      </c>
      <c r="I529" s="16">
        <f>IFERROR(__xludf.DUMMYFUNCTION("ROUND(
  MAX(
    MIN(
      (
        (VALUE(INDEX(SPLIT(K529,""-""),1)) + VALUE(INDEX(SPLIT(K529,""-""),2))) / 2
      ) *
      IFS(
        L529&gt;0.4, 1.6,
        L529&gt;0.1, 1.3,
        L529&gt;=-0.05, 1,
        L529&gt;=-0.2, 0.85,
        TRUE, 0.7
     "&amp;" ),
      VALUE(INDEX(SPLIT(K529,""-""),2))
    ),
    VALUE(INDEX(SPLIT(K529,""-""),1))
  )
)"),8.0)</f>
        <v>8</v>
      </c>
      <c r="J529" s="17">
        <f>I529*(VLOOKUP(C529,'Rev_Mapping Table'!$A$1:$C$12,3,0))</f>
        <v>4448000</v>
      </c>
      <c r="K529" s="30">
        <v>45698.0</v>
      </c>
      <c r="L529" s="18">
        <v>0.13</v>
      </c>
      <c r="M529" s="19" t="str">
        <f>VLOOKUP(B529,Master_Mapper!$A$2:$C$628,3,0)</f>
        <v/>
      </c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</row>
    <row r="530">
      <c r="A530" s="21" t="b">
        <v>0</v>
      </c>
      <c r="B530" s="31" t="s">
        <v>839</v>
      </c>
      <c r="C530" s="21" t="str">
        <f>vlookup(B530,Vert_Mapper!$A$2:$C$567,2,0)</f>
        <v>Healthcare</v>
      </c>
      <c r="D530" s="21" t="str">
        <f>vlookup(B530,Vert_Mapper!$A$2:$C$567,3,0)</f>
        <v>Biotechnology &amp; Pharmaceuticals</v>
      </c>
      <c r="E530" s="21" t="s">
        <v>26</v>
      </c>
      <c r="F530" s="21" t="s">
        <v>18</v>
      </c>
      <c r="G530" s="21" t="str">
        <f t="shared" si="1"/>
        <v>GROWTH PHASE</v>
      </c>
      <c r="H530" s="21" t="s">
        <v>840</v>
      </c>
      <c r="I530" s="24">
        <f>IFERROR(__xludf.DUMMYFUNCTION("ROUND(
  MAX(
    MIN(
      (
        (VALUE(INDEX(SPLIT(K530,""-""),1)) + VALUE(INDEX(SPLIT(K530,""-""),2))) / 2
      ) *
      IFS(
        L530&gt;0.4, 1.6,
        L530&gt;0.1, 1.3,
        L530&gt;=-0.05, 1,
        L530&gt;=-0.2, 0.85,
        TRUE, 0.7
     "&amp;" ),
      VALUE(INDEX(SPLIT(K530,""-""),2))
    ),
    VALUE(INDEX(SPLIT(K530,""-""),1))
  )
)"),8.0)</f>
        <v>8</v>
      </c>
      <c r="J530" s="25">
        <f>I530*(VLOOKUP(C530,'Rev_Mapping Table'!$A$1:$C$12,3,0))</f>
        <v>4448000</v>
      </c>
      <c r="K530" s="32">
        <v>45698.0</v>
      </c>
      <c r="L530" s="26">
        <v>0.13</v>
      </c>
      <c r="M530" s="27" t="str">
        <f>VLOOKUP(B530,Master_Mapper!$A$2:$C$628,3,0)</f>
        <v>VentureSouth</v>
      </c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</row>
    <row r="531">
      <c r="A531" s="13" t="b">
        <v>0</v>
      </c>
      <c r="B531" s="14" t="s">
        <v>841</v>
      </c>
      <c r="C531" s="13" t="str">
        <f>vlookup(B531,Vert_Mapper!$A$2:$C$567,2,0)</f>
        <v>Information Technology</v>
      </c>
      <c r="D531" s="13" t="str">
        <f>vlookup(B531,Vert_Mapper!$A$2:$C$567,3,0)</f>
        <v>Software &amp; SaaS</v>
      </c>
      <c r="E531" s="13" t="s">
        <v>26</v>
      </c>
      <c r="F531" s="13" t="s">
        <v>18</v>
      </c>
      <c r="G531" s="13" t="str">
        <f t="shared" si="1"/>
        <v>DECLINING</v>
      </c>
      <c r="H531" s="13" t="s">
        <v>608</v>
      </c>
      <c r="I531" s="16">
        <f>IFERROR(__xludf.DUMMYFUNCTION("ROUND(
  MAX(
    MIN(
      (
        (VALUE(INDEX(SPLIT(K531,""-""),1)) + VALUE(INDEX(SPLIT(K531,""-""),2))) / 2
      ) *
      IFS(
        L531&gt;0.4, 1.6,
        L531&gt;0.1, 1.3,
        L531&gt;=-0.05, 1,
        L531&gt;=-0.2, 0.85,
        TRUE, 0.7
     "&amp;" ),
      VALUE(INDEX(SPLIT(K531,""-""),2))
    ),
    VALUE(INDEX(SPLIT(K531,""-""),1))
  )
)"),298.0)</f>
        <v>298</v>
      </c>
      <c r="J531" s="17">
        <f>I531*(VLOOKUP(C531,'Rev_Mapping Table'!$A$1:$C$12,3,0))</f>
        <v>168072000</v>
      </c>
      <c r="K531" s="16" t="s">
        <v>20</v>
      </c>
      <c r="L531" s="18">
        <v>-0.08</v>
      </c>
      <c r="M531" s="19" t="str">
        <f>VLOOKUP(B531,Master_Mapper!$A$2:$C$628,3,0)</f>
        <v>EF Capital</v>
      </c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</row>
    <row r="532">
      <c r="A532" s="21" t="b">
        <v>0</v>
      </c>
      <c r="B532" s="31" t="s">
        <v>842</v>
      </c>
      <c r="C532" s="21" t="str">
        <f>vlookup(B532,Vert_Mapper!$A$2:$C$567,2,0)</f>
        <v>Information Technology</v>
      </c>
      <c r="D532" s="21" t="str">
        <f>vlookup(B532,Vert_Mapper!$A$2:$C$567,3,0)</f>
        <v>Legal Technology</v>
      </c>
      <c r="E532" s="21" t="s">
        <v>26</v>
      </c>
      <c r="F532" s="21" t="s">
        <v>18</v>
      </c>
      <c r="G532" s="21" t="str">
        <f t="shared" si="1"/>
        <v>DECLINING</v>
      </c>
      <c r="H532" s="21" t="s">
        <v>83</v>
      </c>
      <c r="I532" s="24">
        <f>IFERROR(__xludf.DUMMYFUNCTION("ROUND(
  MAX(
    MIN(
      (
        (VALUE(INDEX(SPLIT(K532,""-""),1)) + VALUE(INDEX(SPLIT(K532,""-""),2))) / 2
      ) *
      IFS(
        L532&gt;0.4, 1.6,
        L532&gt;0.1, 1.3,
        L532&gt;=-0.05, 1,
        L532&gt;=-0.2, 0.85,
        TRUE, 0.7
     "&amp;" ),
      VALUE(INDEX(SPLIT(K532,""-""),2))
    ),
    VALUE(INDEX(SPLIT(K532,""-""),1))
  )
)"),107.0)</f>
        <v>107</v>
      </c>
      <c r="J532" s="25">
        <f>I532*(VLOOKUP(C532,'Rev_Mapping Table'!$A$1:$C$12,3,0))</f>
        <v>60348000</v>
      </c>
      <c r="K532" s="24" t="s">
        <v>32</v>
      </c>
      <c r="L532" s="26">
        <v>-0.17</v>
      </c>
      <c r="M532" s="27" t="str">
        <f>VLOOKUP(B532,Master_Mapper!$A$2:$C$628,3,0)</f>
        <v>Cerity Partners</v>
      </c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</row>
    <row r="533">
      <c r="A533" s="13" t="b">
        <v>0</v>
      </c>
      <c r="B533" s="14" t="s">
        <v>843</v>
      </c>
      <c r="C533" s="13" t="str">
        <f>vlookup(B533,Vert_Mapper!$A$2:$C$567,2,0)</f>
        <v>Real Estate</v>
      </c>
      <c r="D533" s="13" t="str">
        <f>vlookup(B533,Vert_Mapper!$A$2:$C$567,3,0)</f>
        <v>Real Estate Services</v>
      </c>
      <c r="E533" s="13" t="s">
        <v>26</v>
      </c>
      <c r="F533" s="13" t="s">
        <v>18</v>
      </c>
      <c r="G533" s="13" t="str">
        <f t="shared" si="1"/>
        <v>FLAT TO NEUTRAL</v>
      </c>
      <c r="H533" s="13" t="s">
        <v>844</v>
      </c>
      <c r="I533" s="16">
        <f>IFERROR(__xludf.DUMMYFUNCTION("ROUND(
  MAX(
    MIN(
      (
        (VALUE(INDEX(SPLIT(K533,""-""),1)) + VALUE(INDEX(SPLIT(K533,""-""),2))) / 2
      ) *
      IFS(
        L533&gt;0.4, 1.6,
        L533&gt;0.1, 1.3,
        L533&gt;=-0.05, 1,
        L533&gt;=-0.2, 0.85,
        TRUE, 0.7
     "&amp;" ),
      VALUE(INDEX(SPLIT(K533,""-""),2))
    ),
    VALUE(INDEX(SPLIT(K533,""-""),1))
  )
)"),751.0)</f>
        <v>751</v>
      </c>
      <c r="J533" s="17">
        <f>I533*(VLOOKUP(C533,'Rev_Mapping Table'!$A$1:$C$12,3,0))</f>
        <v>345460000</v>
      </c>
      <c r="K533" s="16" t="s">
        <v>54</v>
      </c>
      <c r="L533" s="18">
        <v>0.03</v>
      </c>
      <c r="M533" s="19" t="str">
        <f>VLOOKUP(B533,Master_Mapper!$A$2:$C$628,3,0)</f>
        <v>South Street Partners (Charlotte)</v>
      </c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</row>
    <row r="534">
      <c r="A534" s="21" t="b">
        <v>0</v>
      </c>
      <c r="B534" s="31" t="s">
        <v>845</v>
      </c>
      <c r="C534" s="21" t="str">
        <f>vlookup(B534,Vert_Mapper!$A$2:$C$567,2,0)</f>
        <v>Real Estate</v>
      </c>
      <c r="D534" s="21" t="str">
        <f>vlookup(B534,Vert_Mapper!$A$2:$C$567,3,0)</f>
        <v>Hospitality &amp; Resorts</v>
      </c>
      <c r="E534" s="21" t="s">
        <v>26</v>
      </c>
      <c r="F534" s="21" t="s">
        <v>18</v>
      </c>
      <c r="G534" s="21" t="str">
        <f t="shared" si="1"/>
        <v>FLAT TO NEUTRAL</v>
      </c>
      <c r="H534" s="21" t="s">
        <v>846</v>
      </c>
      <c r="I534" s="24">
        <f>IFERROR(__xludf.DUMMYFUNCTION("ROUND(
  MAX(
    MIN(
      (
        (VALUE(INDEX(SPLIT(K534,""-""),1)) + VALUE(INDEX(SPLIT(K534,""-""),2))) / 2
      ) *
      IFS(
        L534&gt;0.4, 1.6,
        L534&gt;0.1, 1.3,
        L534&gt;=-0.05, 1,
        L534&gt;=-0.2, 0.85,
        TRUE, 0.7
     "&amp;" ),
      VALUE(INDEX(SPLIT(K534,""-""),2))
    ),
    VALUE(INDEX(SPLIT(K534,""-""),1))
  )
)"),351.0)</f>
        <v>351</v>
      </c>
      <c r="J534" s="25">
        <f>I534*(VLOOKUP(C534,'Rev_Mapping Table'!$A$1:$C$12,3,0))</f>
        <v>161460000</v>
      </c>
      <c r="K534" s="24" t="s">
        <v>20</v>
      </c>
      <c r="L534" s="26">
        <v>0.02</v>
      </c>
      <c r="M534" s="27" t="str">
        <f>VLOOKUP(B534,Master_Mapper!$A$2:$C$628,3,0)</f>
        <v>South Street Partners (Charlotte)</v>
      </c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</row>
    <row r="535">
      <c r="A535" s="13" t="b">
        <v>0</v>
      </c>
      <c r="B535" s="14" t="s">
        <v>847</v>
      </c>
      <c r="C535" s="13" t="str">
        <f>vlookup(B535,Vert_Mapper!$A$2:$C$567,2,0)</f>
        <v>Financials</v>
      </c>
      <c r="D535" s="13" t="str">
        <f>vlookup(B535,Vert_Mapper!$A$2:$C$567,3,0)</f>
        <v>Insurance &amp; InsurTech</v>
      </c>
      <c r="E535" s="13" t="s">
        <v>26</v>
      </c>
      <c r="F535" s="13" t="s">
        <v>18</v>
      </c>
      <c r="G535" s="13" t="str">
        <f t="shared" si="1"/>
        <v>GROWTH PHASE</v>
      </c>
      <c r="H535" s="13" t="s">
        <v>301</v>
      </c>
      <c r="I535" s="16">
        <f>IFERROR(__xludf.DUMMYFUNCTION("ROUND(
  MAX(
    MIN(
      (
        (VALUE(INDEX(SPLIT(K535,""-""),1)) + VALUE(INDEX(SPLIT(K535,""-""),2))) / 2
      ) *
      IFS(
        L535&gt;0.4, 1.6,
        L535&gt;0.1, 1.3,
        L535&gt;=-0.05, 1,
        L535&gt;=-0.2, 0.85,
        TRUE, 0.7
     "&amp;" ),
      VALUE(INDEX(SPLIT(K535,""-""),2))
    ),
    VALUE(INDEX(SPLIT(K535,""-""),1))
  )
)"),351.0)</f>
        <v>351</v>
      </c>
      <c r="J535" s="17">
        <f>I535*(VLOOKUP(C535,'Rev_Mapping Table'!$A$1:$C$12,3,0))</f>
        <v>317655000</v>
      </c>
      <c r="K535" s="16" t="s">
        <v>20</v>
      </c>
      <c r="L535" s="18">
        <v>0.06</v>
      </c>
      <c r="M535" s="19" t="str">
        <f>VLOOKUP(B535,Master_Mapper!$A$2:$C$628,3,0)</f>
        <v>Halifax Group</v>
      </c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</row>
    <row r="536">
      <c r="A536" s="21" t="b">
        <v>0</v>
      </c>
      <c r="B536" s="31" t="s">
        <v>848</v>
      </c>
      <c r="C536" s="21" t="str">
        <f>vlookup(B536,Vert_Mapper!$A$2:$C$567,2,0)</f>
        <v>Communications</v>
      </c>
      <c r="D536" s="21" t="str">
        <f>vlookup(B536,Vert_Mapper!$A$2:$C$567,3,0)</f>
        <v>Media &amp; Entertainment</v>
      </c>
      <c r="E536" s="21" t="s">
        <v>26</v>
      </c>
      <c r="F536" s="21" t="s">
        <v>18</v>
      </c>
      <c r="G536" s="21" t="str">
        <f t="shared" si="1"/>
        <v>FLAT TO NEUTRAL</v>
      </c>
      <c r="H536" s="21" t="s">
        <v>510</v>
      </c>
      <c r="I536" s="24">
        <f>IFERROR(__xludf.DUMMYFUNCTION("ROUND(
  MAX(
    MIN(
      (
        (VALUE(INDEX(SPLIT(K536,""-""),1)) + VALUE(INDEX(SPLIT(K536,""-""),2))) / 2
      ) *
      IFS(
        L536&gt;0.4, 1.6,
        L536&gt;0.1, 1.3,
        L536&gt;=-0.05, 1,
        L536&gt;=-0.2, 0.85,
        TRUE, 0.7
     "&amp;" ),
      VALUE(INDEX(SPLIT(K536,""-""),2))
    ),
    VALUE(INDEX(SPLIT(K536,""-""),1))
  )
)"),31.0)</f>
        <v>31</v>
      </c>
      <c r="J536" s="25">
        <f>I536*(VLOOKUP(C536,'Rev_Mapping Table'!$A$1:$C$12,3,0))</f>
        <v>17484000</v>
      </c>
      <c r="K536" s="24" t="s">
        <v>25</v>
      </c>
      <c r="L536" s="26">
        <v>0.0</v>
      </c>
      <c r="M536" s="27" t="str">
        <f>VLOOKUP(B536,Master_Mapper!$A$2:$C$628,3,0)</f>
        <v>Cerity Partners</v>
      </c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</row>
    <row r="537">
      <c r="A537" s="13" t="b">
        <v>0</v>
      </c>
      <c r="B537" s="14" t="s">
        <v>849</v>
      </c>
      <c r="C537" s="13" t="str">
        <f>vlookup(B537,Vert_Mapper!$A$2:$C$567,2,0)</f>
        <v>Consumer Staples</v>
      </c>
      <c r="D537" s="13" t="str">
        <f>vlookup(B537,Vert_Mapper!$A$2:$C$567,3,0)</f>
        <v>Food &amp; Beverage Manufacturing</v>
      </c>
      <c r="E537" s="13" t="s">
        <v>26</v>
      </c>
      <c r="F537" s="13" t="s">
        <v>18</v>
      </c>
      <c r="G537" s="13" t="str">
        <f t="shared" si="1"/>
        <v>HYPERGROWTH</v>
      </c>
      <c r="H537" s="13" t="s">
        <v>131</v>
      </c>
      <c r="I537" s="16" t="str">
        <f>IFERROR(__xludf.DUMMYFUNCTION("ROUND(
  MAX(
    MIN(
      (
        (VALUE(INDEX(SPLIT(K537,""-""),1)) + VALUE(INDEX(SPLIT(K537,""-""),2))) / 2
      ) *
      IFS(
        L537&gt;0.4, 1.6,
        L537&gt;0.1, 1.3,
        L537&gt;=-0.05, 1,
        L537&gt;=-0.2, 0.85,
        TRUE, 0.7
     "&amp;" ),
      VALUE(INDEX(SPLIT(K537,""-""),2))
    ),
    VALUE(INDEX(SPLIT(K537,""-""),1))
  )
)"),"#VALUE!")</f>
        <v>#VALUE!</v>
      </c>
      <c r="J537" s="17" t="str">
        <f>I537*(VLOOKUP(C537,'Rev_Mapping Table'!$A$1:$C$12,3,0))</f>
        <v>#VALUE!</v>
      </c>
      <c r="K537" s="33" t="s">
        <v>131</v>
      </c>
      <c r="L537" s="33" t="s">
        <v>131</v>
      </c>
      <c r="M537" s="19" t="str">
        <f>VLOOKUP(B537,Master_Mapper!$A$2:$C$628,3,0)</f>
        <v>Azalea Capital</v>
      </c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</row>
    <row r="538">
      <c r="A538" s="21" t="b">
        <v>0</v>
      </c>
      <c r="B538" s="31" t="s">
        <v>850</v>
      </c>
      <c r="C538" s="21" t="str">
        <f>vlookup(B538,Vert_Mapper!$A$2:$C$567,2,0)</f>
        <v>Consumer Discretionary</v>
      </c>
      <c r="D538" s="21" t="str">
        <f>vlookup(B538,Vert_Mapper!$A$2:$C$567,3,0)</f>
        <v>Consumer Products</v>
      </c>
      <c r="E538" s="21" t="s">
        <v>26</v>
      </c>
      <c r="F538" s="21" t="s">
        <v>18</v>
      </c>
      <c r="G538" s="21" t="str">
        <f t="shared" si="1"/>
        <v>DECLINING</v>
      </c>
      <c r="H538" s="21" t="s">
        <v>851</v>
      </c>
      <c r="I538" s="24">
        <f>IFERROR(__xludf.DUMMYFUNCTION("ROUND(
  MAX(
    MIN(
      (
        (VALUE(INDEX(SPLIT(K538,""-""),1)) + VALUE(INDEX(SPLIT(K538,""-""),2))) / 2
      ) *
      IFS(
        L538&gt;0.4, 1.6,
        L538&gt;0.1, 1.3,
        L538&gt;=-0.05, 1,
        L538&gt;=-0.2, 0.85,
        TRUE, 0.7
     "&amp;" ),
      VALUE(INDEX(SPLIT(K538,""-""),2))
    ),
    VALUE(INDEX(SPLIT(K538,""-""),1))
  )
)"),126.0)</f>
        <v>126</v>
      </c>
      <c r="J538" s="25">
        <f>I538*(VLOOKUP(C538,'Rev_Mapping Table'!$A$1:$C$12,3,0))</f>
        <v>64512000</v>
      </c>
      <c r="K538" s="24" t="s">
        <v>32</v>
      </c>
      <c r="L538" s="26">
        <v>-0.04</v>
      </c>
      <c r="M538" s="27" t="str">
        <f>VLOOKUP(B538,Master_Mapper!$A$2:$C$628,3,0)</f>
        <v>Monomoy Capital Partners</v>
      </c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</row>
    <row r="539">
      <c r="A539" s="13" t="b">
        <v>0</v>
      </c>
      <c r="B539" s="14" t="s">
        <v>852</v>
      </c>
      <c r="C539" s="13" t="str">
        <f>vlookup(B539,Vert_Mapper!$A$2:$C$567,2,0)</f>
        <v>Healthcare</v>
      </c>
      <c r="D539" s="13" t="str">
        <f>vlookup(B539,Vert_Mapper!$A$2:$C$567,3,0)</f>
        <v>Biotechnology &amp; Pharmaceuticals</v>
      </c>
      <c r="E539" s="13" t="s">
        <v>85</v>
      </c>
      <c r="F539" s="13" t="s">
        <v>86</v>
      </c>
      <c r="G539" s="13" t="str">
        <f t="shared" si="1"/>
        <v>HYPERGROWTH</v>
      </c>
      <c r="H539" s="13" t="s">
        <v>433</v>
      </c>
      <c r="I539" s="16" t="str">
        <f>IFERROR(__xludf.DUMMYFUNCTION("ROUND(
  MAX(
    MIN(
      (
        (VALUE(INDEX(SPLIT(K539,""-""),1)) + VALUE(INDEX(SPLIT(K539,""-""),2))) / 2
      ) *
      IFS(
        L539&gt;0.4, 1.6,
        L539&gt;0.1, 1.3,
        L539&gt;=-0.05, 1,
        L539&gt;=-0.2, 0.85,
        TRUE, 0.7
     "&amp;" ),
      VALUE(INDEX(SPLIT(K539,""-""),2))
    ),
    VALUE(INDEX(SPLIT(K539,""-""),1))
  )
)"),"#VALUE!")</f>
        <v>#VALUE!</v>
      </c>
      <c r="J539" s="17" t="str">
        <f>I539*(VLOOKUP(C539,'Rev_Mapping Table'!$A$1:$C$12,3,0))</f>
        <v>#VALUE!</v>
      </c>
      <c r="K539" s="33" t="s">
        <v>433</v>
      </c>
      <c r="L539" s="33" t="s">
        <v>433</v>
      </c>
      <c r="M539" s="19" t="str">
        <f>VLOOKUP(B539,Master_Mapper!$A$2:$C$628,3,0)</f>
        <v>Cerity Partners</v>
      </c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</row>
    <row r="540">
      <c r="A540" s="21" t="b">
        <v>0</v>
      </c>
      <c r="B540" s="31" t="s">
        <v>853</v>
      </c>
      <c r="C540" s="21" t="str">
        <f>vlookup(B540,Vert_Mapper!$A$2:$C$567,2,0)</f>
        <v>Consumer Staples</v>
      </c>
      <c r="D540" s="21" t="str">
        <f>vlookup(B540,Vert_Mapper!$A$2:$C$567,3,0)</f>
        <v>Food &amp; Beverage Manufacturing</v>
      </c>
      <c r="E540" s="21" t="s">
        <v>26</v>
      </c>
      <c r="F540" s="21" t="s">
        <v>18</v>
      </c>
      <c r="G540" s="21" t="str">
        <f t="shared" si="1"/>
        <v>ACCELERATED GROWTH</v>
      </c>
      <c r="H540" s="21" t="s">
        <v>83</v>
      </c>
      <c r="I540" s="24">
        <f>IFERROR(__xludf.DUMMYFUNCTION("ROUND(
  MAX(
    MIN(
      (
        (VALUE(INDEX(SPLIT(K540,""-""),1)) + VALUE(INDEX(SPLIT(K540,""-""),2))) / 2
      ) *
      IFS(
        L540&gt;0.4, 1.6,
        L540&gt;0.1, 1.3,
        L540&gt;=-0.05, 1,
        L540&gt;=-0.2, 0.85,
        TRUE, 0.7
     "&amp;" ),
      VALUE(INDEX(SPLIT(K540,""-""),2))
    ),
    VALUE(INDEX(SPLIT(K540,""-""),1))
  )
)"),8.0)</f>
        <v>8</v>
      </c>
      <c r="J540" s="25">
        <f>I540*(VLOOKUP(C540,'Rev_Mapping Table'!$A$1:$C$12,3,0))</f>
        <v>4448000</v>
      </c>
      <c r="K540" s="32">
        <v>45698.0</v>
      </c>
      <c r="L540" s="26">
        <v>0.24</v>
      </c>
      <c r="M540" s="27" t="str">
        <f>VLOOKUP(B540,Master_Mapper!$A$2:$C$628,3,0)</f>
        <v>Cerity Partners</v>
      </c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</row>
    <row r="541">
      <c r="A541" s="13" t="b">
        <v>0</v>
      </c>
      <c r="B541" s="14" t="s">
        <v>854</v>
      </c>
      <c r="C541" s="13" t="str">
        <f>vlookup(B541,Vert_Mapper!$A$2:$C$567,2,0)</f>
        <v>Industrials</v>
      </c>
      <c r="D541" s="13" t="str">
        <f>vlookup(B541,Vert_Mapper!$A$2:$C$567,3,0)</f>
        <v>Aerospace and Defense</v>
      </c>
      <c r="E541" s="13" t="s">
        <v>26</v>
      </c>
      <c r="F541" s="13" t="s">
        <v>18</v>
      </c>
      <c r="G541" s="13" t="str">
        <f t="shared" si="1"/>
        <v>FLAT TO NEUTRAL</v>
      </c>
      <c r="H541" s="13" t="s">
        <v>855</v>
      </c>
      <c r="I541" s="16">
        <f>IFERROR(__xludf.DUMMYFUNCTION("ROUND(
  MAX(
    MIN(
      (
        (VALUE(INDEX(SPLIT(K541,""-""),1)) + VALUE(INDEX(SPLIT(K541,""-""),2))) / 2
      ) *
      IFS(
        L541&gt;0.4, 1.6,
        L541&gt;0.1, 1.3,
        L541&gt;=-0.05, 1,
        L541&gt;=-0.2, 0.85,
        TRUE, 0.7
     "&amp;" ),
      VALUE(INDEX(SPLIT(K541,""-""),2))
    ),
    VALUE(INDEX(SPLIT(K541,""-""),1))
  )
)"),126.0)</f>
        <v>126</v>
      </c>
      <c r="J541" s="17">
        <f>I541*(VLOOKUP(C541,'Rev_Mapping Table'!$A$1:$C$12,3,0))</f>
        <v>62118000</v>
      </c>
      <c r="K541" s="16" t="s">
        <v>32</v>
      </c>
      <c r="L541" s="18">
        <v>0.01</v>
      </c>
      <c r="M541" s="19" t="str">
        <f>VLOOKUP(B541,Master_Mapper!$A$2:$C$628,3,0)</f>
        <v>Summit Park</v>
      </c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</row>
    <row r="542">
      <c r="A542" s="21" t="b">
        <v>0</v>
      </c>
      <c r="B542" s="31" t="s">
        <v>856</v>
      </c>
      <c r="C542" s="21" t="str">
        <f>vlookup(B542,Vert_Mapper!$A$2:$C$567,2,0)</f>
        <v>Materials</v>
      </c>
      <c r="D542" s="21" t="str">
        <f>vlookup(B542,Vert_Mapper!$A$2:$C$567,3,0)</f>
        <v>Packaging &amp; Paper Products</v>
      </c>
      <c r="E542" s="21" t="s">
        <v>26</v>
      </c>
      <c r="F542" s="21" t="s">
        <v>18</v>
      </c>
      <c r="G542" s="21" t="str">
        <f t="shared" si="1"/>
        <v>DECLINING</v>
      </c>
      <c r="H542" s="21" t="s">
        <v>857</v>
      </c>
      <c r="I542" s="24">
        <f>IFERROR(__xludf.DUMMYFUNCTION("ROUND(
  MAX(
    MIN(
      (
        (VALUE(INDEX(SPLIT(K542,""-""),1)) + VALUE(INDEX(SPLIT(K542,""-""),2))) / 2
      ) *
      IFS(
        L542&gt;0.4, 1.6,
        L542&gt;0.1, 1.3,
        L542&gt;=-0.05, 1,
        L542&gt;=-0.2, 0.85,
        TRUE, 0.7
     "&amp;" ),
      VALUE(INDEX(SPLIT(K542,""-""),2))
    ),
    VALUE(INDEX(SPLIT(K542,""-""),1))
  )
)"),26.0)</f>
        <v>26</v>
      </c>
      <c r="J542" s="25">
        <f>I542*(VLOOKUP(C542,'Rev_Mapping Table'!$A$1:$C$12,3,0))</f>
        <v>12818000</v>
      </c>
      <c r="K542" s="24" t="s">
        <v>25</v>
      </c>
      <c r="L542" s="26">
        <v>-0.08</v>
      </c>
      <c r="M542" s="27" t="str">
        <f>VLOOKUP(B542,Master_Mapper!$A$2:$C$628,3,0)</f>
        <v>Vibora Capital</v>
      </c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</row>
    <row r="543">
      <c r="A543" s="13" t="b">
        <v>0</v>
      </c>
      <c r="B543" s="14" t="s">
        <v>858</v>
      </c>
      <c r="C543" s="13" t="str">
        <f>vlookup(B543,Vert_Mapper!$A$2:$C$567,2,0)</f>
        <v>Communications</v>
      </c>
      <c r="D543" s="13" t="str">
        <f>vlookup(B543,Vert_Mapper!$A$2:$C$567,3,0)</f>
        <v>Media &amp; Entertainment Technology</v>
      </c>
      <c r="E543" s="13" t="s">
        <v>26</v>
      </c>
      <c r="F543" s="13" t="s">
        <v>18</v>
      </c>
      <c r="G543" s="13" t="str">
        <f t="shared" si="1"/>
        <v>HYPERGROWTH</v>
      </c>
      <c r="H543" s="13" t="s">
        <v>433</v>
      </c>
      <c r="I543" s="16" t="str">
        <f>IFERROR(__xludf.DUMMYFUNCTION("ROUND(
  MAX(
    MIN(
      (
        (VALUE(INDEX(SPLIT(K543,""-""),1)) + VALUE(INDEX(SPLIT(K543,""-""),2))) / 2
      ) *
      IFS(
        L543&gt;0.4, 1.6,
        L543&gt;0.1, 1.3,
        L543&gt;=-0.05, 1,
        L543&gt;=-0.2, 0.85,
        TRUE, 0.7
     "&amp;" ),
      VALUE(INDEX(SPLIT(K543,""-""),2))
    ),
    VALUE(INDEX(SPLIT(K543,""-""),1))
  )
)"),"#VALUE!")</f>
        <v>#VALUE!</v>
      </c>
      <c r="J543" s="17" t="str">
        <f>I543*(VLOOKUP(C543,'Rev_Mapping Table'!$A$1:$C$12,3,0))</f>
        <v>#VALUE!</v>
      </c>
      <c r="K543" s="33" t="s">
        <v>433</v>
      </c>
      <c r="L543" s="33" t="s">
        <v>433</v>
      </c>
      <c r="M543" s="19" t="str">
        <f>VLOOKUP(B543,Master_Mapper!$A$2:$C$628,3,0)</f>
        <v>Cerity Partners</v>
      </c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</row>
    <row r="544">
      <c r="A544" s="21" t="b">
        <v>0</v>
      </c>
      <c r="B544" s="31" t="s">
        <v>859</v>
      </c>
      <c r="C544" s="21" t="str">
        <f>vlookup(B544,Vert_Mapper!$A$2:$C$567,2,0)</f>
        <v>Information Technology</v>
      </c>
      <c r="D544" s="21" t="str">
        <f>vlookup(B544,Vert_Mapper!$A$2:$C$567,3,0)</f>
        <v>IT Services &amp; Consulting</v>
      </c>
      <c r="E544" s="21" t="s">
        <v>26</v>
      </c>
      <c r="F544" s="21" t="s">
        <v>18</v>
      </c>
      <c r="G544" s="21" t="str">
        <f t="shared" si="1"/>
        <v>HYPERGROWTH</v>
      </c>
      <c r="H544" s="21" t="s">
        <v>131</v>
      </c>
      <c r="I544" s="24" t="str">
        <f>IFERROR(__xludf.DUMMYFUNCTION("ROUND(
  MAX(
    MIN(
      (
        (VALUE(INDEX(SPLIT(K544,""-""),1)) + VALUE(INDEX(SPLIT(K544,""-""),2))) / 2
      ) *
      IFS(
        L544&gt;0.4, 1.6,
        L544&gt;0.1, 1.3,
        L544&gt;=-0.05, 1,
        L544&gt;=-0.2, 0.85,
        TRUE, 0.7
     "&amp;" ),
      VALUE(INDEX(SPLIT(K544,""-""),2))
    ),
    VALUE(INDEX(SPLIT(K544,""-""),1))
  )
)"),"#VALUE!")</f>
        <v>#VALUE!</v>
      </c>
      <c r="J544" s="25" t="str">
        <f>I544*(VLOOKUP(C544,'Rev_Mapping Table'!$A$1:$C$12,3,0))</f>
        <v>#VALUE!</v>
      </c>
      <c r="K544" s="35" t="s">
        <v>131</v>
      </c>
      <c r="L544" s="35" t="s">
        <v>131</v>
      </c>
      <c r="M544" s="27" t="str">
        <f>VLOOKUP(B544,Master_Mapper!$A$2:$C$628,3,0)</f>
        <v>Hargett Hunter</v>
      </c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</row>
    <row r="545">
      <c r="A545" s="13" t="b">
        <v>0</v>
      </c>
      <c r="B545" s="14" t="s">
        <v>860</v>
      </c>
      <c r="C545" s="13" t="str">
        <f>vlookup(B545,Vert_Mapper!$A$2:$C$567,2,0)</f>
        <v>Materials</v>
      </c>
      <c r="D545" s="13" t="str">
        <f>vlookup(B545,Vert_Mapper!$A$2:$C$567,3,0)</f>
        <v>Agriculture Technology</v>
      </c>
      <c r="E545" s="13" t="s">
        <v>26</v>
      </c>
      <c r="F545" s="13" t="s">
        <v>18</v>
      </c>
      <c r="G545" s="13" t="str">
        <f t="shared" si="1"/>
        <v>DECLINING</v>
      </c>
      <c r="H545" s="13" t="s">
        <v>861</v>
      </c>
      <c r="I545" s="16">
        <f>IFERROR(__xludf.DUMMYFUNCTION("ROUND(
  MAX(
    MIN(
      (
        (VALUE(INDEX(SPLIT(K545,""-""),1)) + VALUE(INDEX(SPLIT(K545,""-""),2))) / 2
      ) *
      IFS(
        L545&gt;0.4, 1.6,
        L545&gt;0.1, 1.3,
        L545&gt;=-0.05, 1,
        L545&gt;=-0.2, 0.85,
        TRUE, 0.7
     "&amp;" ),
      VALUE(INDEX(SPLIT(K545,""-""),2))
    ),
    VALUE(INDEX(SPLIT(K545,""-""),1))
  )
)"),107.0)</f>
        <v>107</v>
      </c>
      <c r="J545" s="17">
        <f>I545*(VLOOKUP(C545,'Rev_Mapping Table'!$A$1:$C$12,3,0))</f>
        <v>52751000</v>
      </c>
      <c r="K545" s="16" t="s">
        <v>32</v>
      </c>
      <c r="L545" s="18">
        <v>-0.08</v>
      </c>
      <c r="M545" s="19" t="str">
        <f>VLOOKUP(B545,Master_Mapper!$A$2:$C$628,3,0)</f>
        <v>Cerity Partners</v>
      </c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</row>
    <row r="546">
      <c r="A546" s="21" t="b">
        <v>0</v>
      </c>
      <c r="B546" s="31" t="s">
        <v>862</v>
      </c>
      <c r="C546" s="21" t="str">
        <f>vlookup(B546,Vert_Mapper!$A$2:$C$567,2,0)</f>
        <v>Consumer Staples</v>
      </c>
      <c r="D546" s="21" t="str">
        <f>vlookup(B546,Vert_Mapper!$A$2:$C$567,3,0)</f>
        <v>Food &amp; Beverage Manufacturing</v>
      </c>
      <c r="E546" s="21" t="s">
        <v>175</v>
      </c>
      <c r="F546" s="21" t="s">
        <v>34</v>
      </c>
      <c r="G546" s="21" t="str">
        <f t="shared" si="1"/>
        <v>DECLINING</v>
      </c>
      <c r="H546" s="21" t="s">
        <v>280</v>
      </c>
      <c r="I546" s="24">
        <f>IFERROR(__xludf.DUMMYFUNCTION("ROUND(
  MAX(
    MIN(
      (
        (VALUE(INDEX(SPLIT(K546,""-""),1)) + VALUE(INDEX(SPLIT(K546,""-""),2))) / 2
      ) *
      IFS(
        L546&gt;0.4, 1.6,
        L546&gt;0.1, 1.3,
        L546&gt;=-0.05, 1,
        L546&gt;=-0.2, 0.85,
        TRUE, 0.7
     "&amp;" ),
      VALUE(INDEX(SPLIT(K546,""-""),2))
    ),
    VALUE(INDEX(SPLIT(K546,""-""),1))
  )
)"),26.0)</f>
        <v>26</v>
      </c>
      <c r="J546" s="25">
        <f>I546*(VLOOKUP(C546,'Rev_Mapping Table'!$A$1:$C$12,3,0))</f>
        <v>14456000</v>
      </c>
      <c r="K546" s="24" t="s">
        <v>25</v>
      </c>
      <c r="L546" s="26">
        <v>-0.11</v>
      </c>
      <c r="M546" s="27" t="str">
        <f>VLOOKUP(B546,Master_Mapper!$A$2:$C$628,3,0)</f>
        <v>Vibora Capital</v>
      </c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</row>
    <row r="547">
      <c r="A547" s="13" t="b">
        <v>0</v>
      </c>
      <c r="B547" s="14" t="s">
        <v>863</v>
      </c>
      <c r="C547" s="13" t="str">
        <f>vlookup(B547,Vert_Mapper!$A$2:$C$567,2,0)</f>
        <v>Consumer Discretionary</v>
      </c>
      <c r="D547" s="13" t="str">
        <f>vlookup(B547,Vert_Mapper!$A$2:$C$567,3,0)</f>
        <v>Education &amp; Training</v>
      </c>
      <c r="E547" s="13" t="s">
        <v>65</v>
      </c>
      <c r="F547" s="13" t="s">
        <v>30</v>
      </c>
      <c r="G547" s="13" t="str">
        <f t="shared" si="1"/>
        <v>GROWTH PHASE</v>
      </c>
      <c r="H547" s="13" t="s">
        <v>83</v>
      </c>
      <c r="I547" s="16">
        <f>IFERROR(__xludf.DUMMYFUNCTION("ROUND(
  MAX(
    MIN(
      (
        (VALUE(INDEX(SPLIT(K547,""-""),1)) + VALUE(INDEX(SPLIT(K547,""-""),2))) / 2
      ) *
      IFS(
        L547&gt;0.4, 1.6,
        L547&gt;0.1, 1.3,
        L547&gt;=-0.05, 1,
        L547&gt;=-0.2, 0.85,
        TRUE, 0.7
     "&amp;" ),
      VALUE(INDEX(SPLIT(K547,""-""),2))
    ),
    VALUE(INDEX(SPLIT(K547,""-""),1))
  )
)"),31.0)</f>
        <v>31</v>
      </c>
      <c r="J547" s="17">
        <f>I547*(VLOOKUP(C547,'Rev_Mapping Table'!$A$1:$C$12,3,0))</f>
        <v>15872000</v>
      </c>
      <c r="K547" s="16" t="s">
        <v>25</v>
      </c>
      <c r="L547" s="18">
        <v>0.07</v>
      </c>
      <c r="M547" s="19" t="str">
        <f>VLOOKUP(B547,Master_Mapper!$A$2:$C$628,3,0)</f>
        <v>Falfurrias Capital Partners</v>
      </c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</row>
    <row r="548">
      <c r="A548" s="21" t="b">
        <v>0</v>
      </c>
      <c r="B548" s="31" t="s">
        <v>864</v>
      </c>
      <c r="C548" s="21" t="str">
        <f>vlookup(B548,Vert_Mapper!$A$2:$C$567,2,0)</f>
        <v>Financials</v>
      </c>
      <c r="D548" s="21" t="str">
        <f>vlookup(B548,Vert_Mapper!$A$2:$C$567,3,0)</f>
        <v>Venture Capital &amp; Private Equity</v>
      </c>
      <c r="E548" s="21" t="s">
        <v>26</v>
      </c>
      <c r="F548" s="21" t="s">
        <v>18</v>
      </c>
      <c r="G548" s="21" t="str">
        <f t="shared" si="1"/>
        <v>HYPERGROWTH</v>
      </c>
      <c r="H548" s="21" t="s">
        <v>433</v>
      </c>
      <c r="I548" s="24" t="str">
        <f>IFERROR(__xludf.DUMMYFUNCTION("ROUND(
  MAX(
    MIN(
      (
        (VALUE(INDEX(SPLIT(K548,""-""),1)) + VALUE(INDEX(SPLIT(K548,""-""),2))) / 2
      ) *
      IFS(
        L548&gt;0.4, 1.6,
        L548&gt;0.1, 1.3,
        L548&gt;=-0.05, 1,
        L548&gt;=-0.2, 0.85,
        TRUE, 0.7
     "&amp;" ),
      VALUE(INDEX(SPLIT(K548,""-""),2))
    ),
    VALUE(INDEX(SPLIT(K548,""-""),1))
  )
)"),"#VALUE!")</f>
        <v>#VALUE!</v>
      </c>
      <c r="J548" s="25" t="str">
        <f>I548*(VLOOKUP(C548,'Rev_Mapping Table'!$A$1:$C$12,3,0))</f>
        <v>#VALUE!</v>
      </c>
      <c r="K548" s="35" t="s">
        <v>433</v>
      </c>
      <c r="L548" s="35" t="s">
        <v>433</v>
      </c>
      <c r="M548" s="27" t="str">
        <f>VLOOKUP(B548,Master_Mapper!$A$2:$C$628,3,0)</f>
        <v>Trainum Group</v>
      </c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</row>
    <row r="549">
      <c r="A549" s="13" t="b">
        <v>0</v>
      </c>
      <c r="B549" s="14" t="s">
        <v>865</v>
      </c>
      <c r="C549" s="13" t="str">
        <f>vlookup(B549,Vert_Mapper!$A$2:$C$567,2,0)</f>
        <v>Real Estate</v>
      </c>
      <c r="D549" s="13" t="str">
        <f>vlookup(B549,Vert_Mapper!$A$2:$C$567,3,0)</f>
        <v>Real Estate Services</v>
      </c>
      <c r="E549" s="13" t="s">
        <v>26</v>
      </c>
      <c r="F549" s="13" t="s">
        <v>18</v>
      </c>
      <c r="G549" s="13" t="str">
        <f t="shared" si="1"/>
        <v>DECLINING</v>
      </c>
      <c r="H549" s="13" t="s">
        <v>866</v>
      </c>
      <c r="I549" s="16">
        <f>IFERROR(__xludf.DUMMYFUNCTION("ROUND(
  MAX(
    MIN(
      (
        (VALUE(INDEX(SPLIT(K549,""-""),1)) + VALUE(INDEX(SPLIT(K549,""-""),2))) / 2
      ) *
      IFS(
        L549&gt;0.4, 1.6,
        L549&gt;0.1, 1.3,
        L549&gt;=-0.05, 1,
        L549&gt;=-0.2, 0.85,
        TRUE, 0.7
     "&amp;" ),
      VALUE(INDEX(SPLIT(K549,""-""),2))
    ),
    VALUE(INDEX(SPLIT(K549,""-""),1))
  )
)"),107.0)</f>
        <v>107</v>
      </c>
      <c r="J549" s="17">
        <f>I549*(VLOOKUP(C549,'Rev_Mapping Table'!$A$1:$C$12,3,0))</f>
        <v>49220000</v>
      </c>
      <c r="K549" s="16" t="s">
        <v>32</v>
      </c>
      <c r="L549" s="18">
        <v>-0.11</v>
      </c>
      <c r="M549" s="19" t="str">
        <f>VLOOKUP(B549,Master_Mapper!$A$2:$C$628,3,0)</f>
        <v>Cerity Partners</v>
      </c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</row>
    <row r="550">
      <c r="A550" s="21" t="b">
        <v>0</v>
      </c>
      <c r="B550" s="31" t="s">
        <v>867</v>
      </c>
      <c r="C550" s="21" t="str">
        <f>vlookup(B550,Vert_Mapper!$A$2:$C$567,2,0)</f>
        <v>Industrials</v>
      </c>
      <c r="D550" s="21" t="str">
        <f>vlookup(B550,Vert_Mapper!$A$2:$C$567,3,0)</f>
        <v>Automotive &amp; Transportation Equipment</v>
      </c>
      <c r="E550" s="21" t="s">
        <v>26</v>
      </c>
      <c r="F550" s="21" t="s">
        <v>18</v>
      </c>
      <c r="G550" s="21" t="str">
        <f t="shared" si="1"/>
        <v>HYPERGROWTH</v>
      </c>
      <c r="H550" s="21" t="s">
        <v>433</v>
      </c>
      <c r="I550" s="24" t="str">
        <f>IFERROR(__xludf.DUMMYFUNCTION("ROUND(
  MAX(
    MIN(
      (
        (VALUE(INDEX(SPLIT(K550,""-""),1)) + VALUE(INDEX(SPLIT(K550,""-""),2))) / 2
      ) *
      IFS(
        L550&gt;0.4, 1.6,
        L550&gt;0.1, 1.3,
        L550&gt;=-0.05, 1,
        L550&gt;=-0.2, 0.85,
        TRUE, 0.7
     "&amp;" ),
      VALUE(INDEX(SPLIT(K550,""-""),2))
    ),
    VALUE(INDEX(SPLIT(K550,""-""),1))
  )
)"),"#VALUE!")</f>
        <v>#VALUE!</v>
      </c>
      <c r="J550" s="25" t="str">
        <f>I550*(VLOOKUP(C550,'Rev_Mapping Table'!$A$1:$C$12,3,0))</f>
        <v>#VALUE!</v>
      </c>
      <c r="K550" s="35" t="s">
        <v>433</v>
      </c>
      <c r="L550" s="35" t="s">
        <v>433</v>
      </c>
      <c r="M550" s="27" t="str">
        <f>VLOOKUP(B550,Master_Mapper!$A$2:$C$628,3,0)</f>
        <v>Blue Point Capital Partners</v>
      </c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</row>
    <row r="551">
      <c r="A551" s="13" t="b">
        <v>0</v>
      </c>
      <c r="B551" s="14" t="s">
        <v>868</v>
      </c>
      <c r="C551" s="13" t="str">
        <f>vlookup(B551,Vert_Mapper!$A$2:$C$567,2,0)</f>
        <v>Information Technology</v>
      </c>
      <c r="D551" s="13" t="str">
        <f>vlookup(B551,Vert_Mapper!$A$2:$C$567,3,0)</f>
        <v>Software &amp; SaaS</v>
      </c>
      <c r="E551" s="13" t="s">
        <v>65</v>
      </c>
      <c r="F551" s="13" t="s">
        <v>30</v>
      </c>
      <c r="G551" s="13" t="str">
        <f t="shared" si="1"/>
        <v>HYPERGROWTH</v>
      </c>
      <c r="H551" s="13" t="s">
        <v>433</v>
      </c>
      <c r="I551" s="16" t="str">
        <f>IFERROR(__xludf.DUMMYFUNCTION("ROUND(
  MAX(
    MIN(
      (
        (VALUE(INDEX(SPLIT(K551,""-""),1)) + VALUE(INDEX(SPLIT(K551,""-""),2))) / 2
      ) *
      IFS(
        L551&gt;0.4, 1.6,
        L551&gt;0.1, 1.3,
        L551&gt;=-0.05, 1,
        L551&gt;=-0.2, 0.85,
        TRUE, 0.7
     "&amp;" ),
      VALUE(INDEX(SPLIT(K551,""-""),2))
    ),
    VALUE(INDEX(SPLIT(K551,""-""),1))
  )
)"),"#VALUE!")</f>
        <v>#VALUE!</v>
      </c>
      <c r="J551" s="17" t="str">
        <f>I551*(VLOOKUP(C551,'Rev_Mapping Table'!$A$1:$C$12,3,0))</f>
        <v>#VALUE!</v>
      </c>
      <c r="K551" s="33" t="s">
        <v>433</v>
      </c>
      <c r="L551" s="33" t="s">
        <v>433</v>
      </c>
      <c r="M551" s="19" t="str">
        <f>VLOOKUP(B551,Master_Mapper!$A$2:$C$628,3,0)</f>
        <v>VentureSouth</v>
      </c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</row>
    <row r="552">
      <c r="A552" s="21" t="b">
        <v>0</v>
      </c>
      <c r="B552" s="31" t="s">
        <v>869</v>
      </c>
      <c r="C552" s="21" t="str">
        <f>vlookup(B552,Vert_Mapper!$A$2:$C$567,2,0)</f>
        <v>Information Technology</v>
      </c>
      <c r="D552" s="21" t="str">
        <f>vlookup(B552,Vert_Mapper!$A$2:$C$567,3,0)</f>
        <v>Cloud &amp; Infrastructure</v>
      </c>
      <c r="E552" s="21" t="s">
        <v>26</v>
      </c>
      <c r="F552" s="21" t="s">
        <v>18</v>
      </c>
      <c r="G552" s="21" t="str">
        <f t="shared" si="1"/>
        <v>GROWTH PHASE</v>
      </c>
      <c r="H552" s="21" t="s">
        <v>870</v>
      </c>
      <c r="I552" s="24">
        <f>IFERROR(__xludf.DUMMYFUNCTION("ROUND(
  MAX(
    MIN(
      (
        (VALUE(INDEX(SPLIT(K552,""-""),1)) + VALUE(INDEX(SPLIT(K552,""-""),2))) / 2
      ) *
      IFS(
        L552&gt;0.4, 1.6,
        L552&gt;0.1, 1.3,
        L552&gt;=-0.05, 1,
        L552&gt;=-0.2, 0.85,
        TRUE, 0.7
     "&amp;" ),
      VALUE(INDEX(SPLIT(K552,""-""),2))
    ),
    VALUE(INDEX(SPLIT(K552,""-""),1))
  )
)"),126.0)</f>
        <v>126</v>
      </c>
      <c r="J552" s="25">
        <f>I552*(VLOOKUP(C552,'Rev_Mapping Table'!$A$1:$C$12,3,0))</f>
        <v>71064000</v>
      </c>
      <c r="K552" s="24" t="s">
        <v>32</v>
      </c>
      <c r="L552" s="26">
        <v>0.07</v>
      </c>
      <c r="M552" s="27" t="str">
        <f>VLOOKUP(B552,Master_Mapper!$A$2:$C$628,3,0)</f>
        <v>Cerity Partners</v>
      </c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</row>
    <row r="553">
      <c r="A553" s="13" t="b">
        <v>1</v>
      </c>
      <c r="B553" s="14" t="s">
        <v>871</v>
      </c>
      <c r="C553" s="13" t="str">
        <f>vlookup(B553,Vert_Mapper!$A$2:$C$567,2,0)</f>
        <v>Healthcare</v>
      </c>
      <c r="D553" s="13" t="str">
        <f>vlookup(B553,Vert_Mapper!$A$2:$C$567,3,0)</f>
        <v>Biotechnology &amp; Pharmaceuticals</v>
      </c>
      <c r="E553" s="13" t="s">
        <v>26</v>
      </c>
      <c r="F553" s="13" t="s">
        <v>18</v>
      </c>
      <c r="G553" s="13" t="str">
        <f t="shared" si="1"/>
        <v>ACCELERATED GROWTH</v>
      </c>
      <c r="H553" s="13" t="s">
        <v>872</v>
      </c>
      <c r="I553" s="16">
        <f>IFERROR(__xludf.DUMMYFUNCTION("ROUND(
  MAX(
    MIN(
      (
        (VALUE(INDEX(SPLIT(K553,""-""),1)) + VALUE(INDEX(SPLIT(K553,""-""),2))) / 2
      ) *
      IFS(
        L553&gt;0.4, 1.6,
        L553&gt;0.1, 1.3,
        L553&gt;=-0.05, 1,
        L553&gt;=-0.2, 0.85,
        TRUE, 0.7
     "&amp;" ),
      VALUE(INDEX(SPLIT(K553,""-""),2))
    ),
    VALUE(INDEX(SPLIT(K553,""-""),1))
  )
)"),40.0)</f>
        <v>40</v>
      </c>
      <c r="J553" s="17">
        <f>I553*(VLOOKUP(C553,'Rev_Mapping Table'!$A$1:$C$12,3,0))</f>
        <v>22240000</v>
      </c>
      <c r="K553" s="16" t="s">
        <v>25</v>
      </c>
      <c r="L553" s="18">
        <v>0.3</v>
      </c>
      <c r="M553" s="19" t="str">
        <f>VLOOKUP(B553,Master_Mapper!$A$2:$C$628,3,0)</f>
        <v>VentureSouth</v>
      </c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</row>
    <row r="554">
      <c r="A554" s="21" t="b">
        <v>0</v>
      </c>
      <c r="B554" s="31" t="s">
        <v>873</v>
      </c>
      <c r="C554" s="21" t="str">
        <f>vlookup(B554,Vert_Mapper!$A$2:$C$567,2,0)</f>
        <v>Consumer Discretionary</v>
      </c>
      <c r="D554" s="21" t="str">
        <f>vlookup(B554,Vert_Mapper!$A$2:$C$567,3,0)</f>
        <v>Restaurants &amp; Food Services</v>
      </c>
      <c r="E554" s="21" t="s">
        <v>26</v>
      </c>
      <c r="F554" s="21" t="s">
        <v>18</v>
      </c>
      <c r="G554" s="21" t="str">
        <f t="shared" si="1"/>
        <v>GROWTH PHASE</v>
      </c>
      <c r="H554" s="21" t="s">
        <v>473</v>
      </c>
      <c r="I554" s="24">
        <f>IFERROR(__xludf.DUMMYFUNCTION("ROUND(
  MAX(
    MIN(
      (
        (VALUE(INDEX(SPLIT(K554,""-""),1)) + VALUE(INDEX(SPLIT(K554,""-""),2))) / 2
      ) *
      IFS(
        L554&gt;0.4, 1.6,
        L554&gt;0.1, 1.3,
        L554&gt;=-0.05, 1,
        L554&gt;=-0.2, 0.85,
        TRUE, 0.7
     "&amp;" ),
      VALUE(INDEX(SPLIT(K554,""-""),2))
    ),
    VALUE(INDEX(SPLIT(K554,""-""),1))
  )
)"),351.0)</f>
        <v>351</v>
      </c>
      <c r="J554" s="25">
        <f>I554*(VLOOKUP(C554,'Rev_Mapping Table'!$A$1:$C$12,3,0))</f>
        <v>179712000</v>
      </c>
      <c r="K554" s="24" t="s">
        <v>20</v>
      </c>
      <c r="L554" s="26">
        <v>0.1</v>
      </c>
      <c r="M554" s="27" t="str">
        <f>VLOOKUP(B554,Master_Mapper!$A$2:$C$628,3,0)</f>
        <v>Hargett Hunter</v>
      </c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</row>
    <row r="555">
      <c r="A555" s="13" t="b">
        <v>0</v>
      </c>
      <c r="B555" s="14" t="s">
        <v>874</v>
      </c>
      <c r="C555" s="13" t="str">
        <f>vlookup(B555,Vert_Mapper!$A$2:$C$567,2,0)</f>
        <v>Financials</v>
      </c>
      <c r="D555" s="13" t="str">
        <f>vlookup(B555,Vert_Mapper!$A$2:$C$567,3,0)</f>
        <v>Financial Technology &amp; Investment Services</v>
      </c>
      <c r="E555" s="13" t="s">
        <v>26</v>
      </c>
      <c r="F555" s="13" t="s">
        <v>18</v>
      </c>
      <c r="G555" s="13" t="str">
        <f t="shared" si="1"/>
        <v>ACCELERATED GROWTH</v>
      </c>
      <c r="H555" s="13" t="s">
        <v>319</v>
      </c>
      <c r="I555" s="16">
        <f>IFERROR(__xludf.DUMMYFUNCTION("ROUND(
  MAX(
    MIN(
      (
        (VALUE(INDEX(SPLIT(K555,""-""),1)) + VALUE(INDEX(SPLIT(K555,""-""),2))) / 2
      ) *
      IFS(
        L555&gt;0.4, 1.6,
        L555&gt;0.1, 1.3,
        L555&gt;=-0.05, 1,
        L555&gt;=-0.2, 0.85,
        TRUE, 0.7
     "&amp;" ),
      VALUE(INDEX(SPLIT(K555,""-""),2))
    ),
    VALUE(INDEX(SPLIT(K555,""-""),1))
  )
)"),163.0)</f>
        <v>163</v>
      </c>
      <c r="J555" s="17">
        <f>I555*(VLOOKUP(C555,'Rev_Mapping Table'!$A$1:$C$12,3,0))</f>
        <v>147515000</v>
      </c>
      <c r="K555" s="16" t="s">
        <v>32</v>
      </c>
      <c r="L555" s="18">
        <v>0.37</v>
      </c>
      <c r="M555" s="19" t="str">
        <f>VLOOKUP(B555,Master_Mapper!$A$2:$C$628,3,0)</f>
        <v>Cerity Partners</v>
      </c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</row>
    <row r="556">
      <c r="A556" s="21" t="b">
        <v>0</v>
      </c>
      <c r="B556" s="31" t="s">
        <v>875</v>
      </c>
      <c r="C556" s="21" t="str">
        <f>vlookup(B556,Vert_Mapper!$A$2:$C$567,2,0)</f>
        <v>Information Technology</v>
      </c>
      <c r="D556" s="21" t="str">
        <f>vlookup(B556,Vert_Mapper!$A$2:$C$567,3,0)</f>
        <v>Software &amp; SaaS</v>
      </c>
      <c r="E556" s="21" t="s">
        <v>26</v>
      </c>
      <c r="F556" s="21" t="s">
        <v>18</v>
      </c>
      <c r="G556" s="21" t="str">
        <f t="shared" si="1"/>
        <v>GROWTH PHASE</v>
      </c>
      <c r="H556" s="21" t="s">
        <v>73</v>
      </c>
      <c r="I556" s="24">
        <f>IFERROR(__xludf.DUMMYFUNCTION("ROUND(
  MAX(
    MIN(
      (
        (VALUE(INDEX(SPLIT(K556,""-""),1)) + VALUE(INDEX(SPLIT(K556,""-""),2))) / 2
      ) *
      IFS(
        L556&gt;0.4, 1.6,
        L556&gt;0.1, 1.3,
        L556&gt;=-0.05, 1,
        L556&gt;=-0.2, 0.85,
        TRUE, 0.7
     "&amp;" ),
      VALUE(INDEX(SPLIT(K556,""-""),2))
    ),
    VALUE(INDEX(SPLIT(K556,""-""),1))
  )
)"),3901.0)</f>
        <v>3901</v>
      </c>
      <c r="J556" s="25">
        <f>I556*(VLOOKUP(C556,'Rev_Mapping Table'!$A$1:$C$12,3,0))</f>
        <v>2200164000</v>
      </c>
      <c r="K556" s="24" t="s">
        <v>96</v>
      </c>
      <c r="L556" s="26">
        <v>0.13</v>
      </c>
      <c r="M556" s="27" t="str">
        <f>VLOOKUP(B556,Master_Mapper!$A$2:$C$628,3,0)</f>
        <v>Halifax Group</v>
      </c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</row>
    <row r="557">
      <c r="A557" s="13" t="b">
        <v>0</v>
      </c>
      <c r="B557" s="14" t="s">
        <v>876</v>
      </c>
      <c r="C557" s="13" t="str">
        <f>vlookup(B557,Vert_Mapper!$A$2:$C$567,2,0)</f>
        <v>Information Technology</v>
      </c>
      <c r="D557" s="13" t="str">
        <f>vlookup(B557,Vert_Mapper!$A$2:$C$567,3,0)</f>
        <v>Software &amp; SaaS</v>
      </c>
      <c r="E557" s="13" t="s">
        <v>26</v>
      </c>
      <c r="F557" s="13" t="s">
        <v>18</v>
      </c>
      <c r="G557" s="13" t="str">
        <f t="shared" si="1"/>
        <v>FLAT TO NEUTRAL</v>
      </c>
      <c r="H557" s="13" t="s">
        <v>877</v>
      </c>
      <c r="I557" s="16">
        <f>IFERROR(__xludf.DUMMYFUNCTION("ROUND(
  MAX(
    MIN(
      (
        (VALUE(INDEX(SPLIT(K557,""-""),1)) + VALUE(INDEX(SPLIT(K557,""-""),2))) / 2
      ) *
      IFS(
        L557&gt;0.4, 1.6,
        L557&gt;0.1, 1.3,
        L557&gt;=-0.05, 1,
        L557&gt;=-0.2, 0.85,
        TRUE, 0.7
     "&amp;" ),
      VALUE(INDEX(SPLIT(K557,""-""),2))
    ),
    VALUE(INDEX(SPLIT(K557,""-""),1))
  )
)"),31.0)</f>
        <v>31</v>
      </c>
      <c r="J557" s="17">
        <f>I557*(VLOOKUP(C557,'Rev_Mapping Table'!$A$1:$C$12,3,0))</f>
        <v>17484000</v>
      </c>
      <c r="K557" s="16" t="s">
        <v>25</v>
      </c>
      <c r="L557" s="18">
        <v>0.0</v>
      </c>
      <c r="M557" s="19" t="str">
        <f>VLOOKUP(B557,Master_Mapper!$A$2:$C$628,3,0)</f>
        <v>Cerity Partners</v>
      </c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</row>
    <row r="558">
      <c r="A558" s="21" t="b">
        <v>0</v>
      </c>
      <c r="B558" s="31" t="s">
        <v>878</v>
      </c>
      <c r="C558" s="21" t="str">
        <f>vlookup(B558,Vert_Mapper!$A$2:$C$567,2,0)</f>
        <v>Industrials</v>
      </c>
      <c r="D558" s="21" t="str">
        <f>vlookup(B558,Vert_Mapper!$A$2:$C$567,3,0)</f>
        <v>Manufacturing &amp; Processing</v>
      </c>
      <c r="E558" s="21" t="s">
        <v>26</v>
      </c>
      <c r="F558" s="21" t="s">
        <v>18</v>
      </c>
      <c r="G558" s="21" t="str">
        <f t="shared" si="1"/>
        <v>DECLINING</v>
      </c>
      <c r="H558" s="21" t="s">
        <v>879</v>
      </c>
      <c r="I558" s="24">
        <f>IFERROR(__xludf.DUMMYFUNCTION("ROUND(
  MAX(
    MIN(
      (
        (VALUE(INDEX(SPLIT(K558,""-""),1)) + VALUE(INDEX(SPLIT(K558,""-""),2))) / 2
      ) *
      IFS(
        L558&gt;0.4, 1.6,
        L558&gt;0.1, 1.3,
        L558&gt;=-0.05, 1,
        L558&gt;=-0.2, 0.85,
        TRUE, 0.7
     "&amp;" ),
      VALUE(INDEX(SPLIT(K558,""-""),2))
    ),
    VALUE(INDEX(SPLIT(K558,""-""),1))
  )
)"),126.0)</f>
        <v>126</v>
      </c>
      <c r="J558" s="25">
        <f>I558*(VLOOKUP(C558,'Rev_Mapping Table'!$A$1:$C$12,3,0))</f>
        <v>62118000</v>
      </c>
      <c r="K558" s="24" t="s">
        <v>32</v>
      </c>
      <c r="L558" s="26">
        <v>-0.03</v>
      </c>
      <c r="M558" s="27" t="str">
        <f>VLOOKUP(B558,Master_Mapper!$A$2:$C$628,3,0)</f>
        <v>SharpVue Capital</v>
      </c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</row>
    <row r="559">
      <c r="A559" s="13" t="b">
        <v>0</v>
      </c>
      <c r="B559" s="14" t="s">
        <v>880</v>
      </c>
      <c r="C559" s="13" t="str">
        <f>vlookup(B559,Vert_Mapper!$A$2:$C$567,2,0)</f>
        <v>Communications</v>
      </c>
      <c r="D559" s="13" t="str">
        <f>vlookup(B559,Vert_Mapper!$A$2:$C$567,3,0)</f>
        <v>Media &amp; Entertainment Technology</v>
      </c>
      <c r="E559" s="13" t="s">
        <v>26</v>
      </c>
      <c r="F559" s="13" t="s">
        <v>18</v>
      </c>
      <c r="G559" s="13" t="str">
        <f t="shared" si="1"/>
        <v>GROWTH PHASE</v>
      </c>
      <c r="H559" s="13" t="s">
        <v>24</v>
      </c>
      <c r="I559" s="16">
        <f>IFERROR(__xludf.DUMMYFUNCTION("ROUND(
  MAX(
    MIN(
      (
        (VALUE(INDEX(SPLIT(K559,""-""),1)) + VALUE(INDEX(SPLIT(K559,""-""),2))) / 2
      ) *
      IFS(
        L559&gt;0.4, 1.6,
        L559&gt;0.1, 1.3,
        L559&gt;=-0.05, 1,
        L559&gt;=-0.2, 0.85,
        TRUE, 0.7
     "&amp;" ),
      VALUE(INDEX(SPLIT(K559,""-""),2))
    ),
    VALUE(INDEX(SPLIT(K559,""-""),1))
  )
)"),751.0)</f>
        <v>751</v>
      </c>
      <c r="J559" s="17">
        <f>I559*(VLOOKUP(C559,'Rev_Mapping Table'!$A$1:$C$12,3,0))</f>
        <v>423564000</v>
      </c>
      <c r="K559" s="16" t="s">
        <v>54</v>
      </c>
      <c r="L559" s="18">
        <v>0.1</v>
      </c>
      <c r="M559" s="19" t="str">
        <f>VLOOKUP(B559,Master_Mapper!$A$2:$C$628,3,0)</f>
        <v>Cerity Partners</v>
      </c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</row>
    <row r="560">
      <c r="A560" s="21" t="b">
        <v>0</v>
      </c>
      <c r="B560" s="31" t="s">
        <v>881</v>
      </c>
      <c r="C560" s="21" t="str">
        <f>vlookup(B560,Vert_Mapper!$A$2:$C$567,2,0)</f>
        <v>Consumer Discretionary</v>
      </c>
      <c r="D560" s="21" t="str">
        <f>vlookup(B560,Vert_Mapper!$A$2:$C$567,3,0)</f>
        <v>Travel &amp; Hospitality Services</v>
      </c>
      <c r="E560" s="21" t="s">
        <v>26</v>
      </c>
      <c r="F560" s="21" t="s">
        <v>18</v>
      </c>
      <c r="G560" s="21" t="str">
        <f t="shared" si="1"/>
        <v>DECLINING</v>
      </c>
      <c r="H560" s="21" t="s">
        <v>24</v>
      </c>
      <c r="I560" s="24">
        <f>IFERROR(__xludf.DUMMYFUNCTION("ROUND(
  MAX(
    MIN(
      (
        (VALUE(INDEX(SPLIT(K560,""-""),1)) + VALUE(INDEX(SPLIT(K560,""-""),2))) / 2
      ) *
      IFS(
        L560&gt;0.4, 1.6,
        L560&gt;0.1, 1.3,
        L560&gt;=-0.05, 1,
        L560&gt;=-0.2, 0.85,
        TRUE, 0.7
     "&amp;" ),
      VALUE(INDEX(SPLIT(K560,""-""),2))
    ),
    VALUE(INDEX(SPLIT(K560,""-""),1))
  )
)"),638.0)</f>
        <v>638</v>
      </c>
      <c r="J560" s="25">
        <f>I560*(VLOOKUP(C560,'Rev_Mapping Table'!$A$1:$C$12,3,0))</f>
        <v>326656000</v>
      </c>
      <c r="K560" s="24" t="s">
        <v>54</v>
      </c>
      <c r="L560" s="26">
        <v>-0.1</v>
      </c>
      <c r="M560" s="27" t="str">
        <f>VLOOKUP(B560,Master_Mapper!$A$2:$C$628,3,0)</f>
        <v>Vibora Capital</v>
      </c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</row>
    <row r="561">
      <c r="A561" s="13" t="b">
        <v>0</v>
      </c>
      <c r="B561" s="14" t="s">
        <v>882</v>
      </c>
      <c r="C561" s="13" t="str">
        <f>vlookup(B561,Vert_Mapper!$A$2:$C$567,2,0)</f>
        <v>Healthcare</v>
      </c>
      <c r="D561" s="13" t="str">
        <f>vlookup(B561,Vert_Mapper!$A$2:$C$567,3,0)</f>
        <v>Healthcare Services</v>
      </c>
      <c r="E561" s="13" t="s">
        <v>85</v>
      </c>
      <c r="F561" s="13" t="s">
        <v>18</v>
      </c>
      <c r="G561" s="13" t="str">
        <f t="shared" si="1"/>
        <v>HYPERGROWTH</v>
      </c>
      <c r="H561" s="13" t="s">
        <v>433</v>
      </c>
      <c r="I561" s="16" t="str">
        <f>IFERROR(__xludf.DUMMYFUNCTION("ROUND(
  MAX(
    MIN(
      (
        (VALUE(INDEX(SPLIT(K561,""-""),1)) + VALUE(INDEX(SPLIT(K561,""-""),2))) / 2
      ) *
      IFS(
        L561&gt;0.4, 1.6,
        L561&gt;0.1, 1.3,
        L561&gt;=-0.05, 1,
        L561&gt;=-0.2, 0.85,
        TRUE, 0.7
     "&amp;" ),
      VALUE(INDEX(SPLIT(K561,""-""),2))
    ),
    VALUE(INDEX(SPLIT(K561,""-""),1))
  )
)"),"#VALUE!")</f>
        <v>#VALUE!</v>
      </c>
      <c r="J561" s="17" t="str">
        <f>I561*(VLOOKUP(C561,'Rev_Mapping Table'!$A$1:$C$12,3,0))</f>
        <v>#VALUE!</v>
      </c>
      <c r="K561" s="33" t="s">
        <v>433</v>
      </c>
      <c r="L561" s="33" t="s">
        <v>433</v>
      </c>
      <c r="M561" s="19" t="str">
        <f>VLOOKUP(B561,Master_Mapper!$A$2:$C$628,3,0)</f>
        <v>SharpVue Capital</v>
      </c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</row>
    <row r="562">
      <c r="A562" s="21" t="b">
        <v>0</v>
      </c>
      <c r="B562" s="31" t="s">
        <v>883</v>
      </c>
      <c r="C562" s="21" t="str">
        <f>vlookup(B562,Vert_Mapper!$A$2:$C$567,2,0)</f>
        <v>Industrials</v>
      </c>
      <c r="D562" s="21" t="str">
        <f>vlookup(B562,Vert_Mapper!$A$2:$C$567,3,0)</f>
        <v>Aerospace and Defense</v>
      </c>
      <c r="E562" s="21" t="s">
        <v>26</v>
      </c>
      <c r="F562" s="21" t="s">
        <v>18</v>
      </c>
      <c r="G562" s="21" t="str">
        <f t="shared" si="1"/>
        <v>GROWTH PHASE</v>
      </c>
      <c r="H562" s="21" t="s">
        <v>884</v>
      </c>
      <c r="I562" s="24">
        <f>IFERROR(__xludf.DUMMYFUNCTION("ROUND(
  MAX(
    MIN(
      (
        (VALUE(INDEX(SPLIT(K562,""-""),1)) + VALUE(INDEX(SPLIT(K562,""-""),2))) / 2
      ) *
      IFS(
        L562&gt;0.4, 1.6,
        L562&gt;0.1, 1.3,
        L562&gt;=-0.05, 1,
        L562&gt;=-0.2, 0.85,
        TRUE, 0.7
     "&amp;" ),
      VALUE(INDEX(SPLIT(K562,""-""),2))
    ),
    VALUE(INDEX(SPLIT(K562,""-""),1))
  )
)"),163.0)</f>
        <v>163</v>
      </c>
      <c r="J562" s="25">
        <f>I562*(VLOOKUP(C562,'Rev_Mapping Table'!$A$1:$C$12,3,0))</f>
        <v>80359000</v>
      </c>
      <c r="K562" s="24" t="s">
        <v>32</v>
      </c>
      <c r="L562" s="26">
        <v>0.18</v>
      </c>
      <c r="M562" s="27" t="str">
        <f>VLOOKUP(B562,Master_Mapper!$A$2:$C$628,3,0)</f>
        <v>Halifax Group</v>
      </c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</row>
    <row r="563">
      <c r="A563" s="13" t="b">
        <v>0</v>
      </c>
      <c r="B563" s="14" t="s">
        <v>885</v>
      </c>
      <c r="C563" s="13" t="str">
        <f>vlookup(B563,Vert_Mapper!$A$2:$C$567,2,0)</f>
        <v>Healthcare</v>
      </c>
      <c r="D563" s="13" t="str">
        <f>vlookup(B563,Vert_Mapper!$A$2:$C$567,3,0)</f>
        <v>Healthcare Services</v>
      </c>
      <c r="E563" s="13" t="s">
        <v>26</v>
      </c>
      <c r="F563" s="13" t="s">
        <v>18</v>
      </c>
      <c r="G563" s="13" t="str">
        <f t="shared" si="1"/>
        <v>DECLINING</v>
      </c>
      <c r="H563" s="13" t="s">
        <v>886</v>
      </c>
      <c r="I563" s="16">
        <f>IFERROR(__xludf.DUMMYFUNCTION("ROUND(
  MAX(
    MIN(
      (
        (VALUE(INDEX(SPLIT(K563,""-""),1)) + VALUE(INDEX(SPLIT(K563,""-""),2))) / 2
      ) *
      IFS(
        L563&gt;0.4, 1.6,
        L563&gt;0.1, 1.3,
        L563&gt;=-0.05, 1,
        L563&gt;=-0.2, 0.85,
        TRUE, 0.7
     "&amp;" ),
      VALUE(INDEX(SPLIT(K563,""-""),2))
    ),
    VALUE(INDEX(SPLIT(K563,""-""),1))
  )
)"),2550.0)</f>
        <v>2550</v>
      </c>
      <c r="J563" s="17">
        <f>I563*(VLOOKUP(C563,'Rev_Mapping Table'!$A$1:$C$12,3,0))</f>
        <v>1417800000</v>
      </c>
      <c r="K563" s="16" t="s">
        <v>96</v>
      </c>
      <c r="L563" s="18">
        <v>-0.06</v>
      </c>
      <c r="M563" s="19" t="str">
        <f>VLOOKUP(B563,Master_Mapper!$A$2:$C$628,3,0)</f>
        <v>Pamlico Capital</v>
      </c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</row>
    <row r="564">
      <c r="A564" s="21" t="b">
        <v>0</v>
      </c>
      <c r="B564" s="31" t="s">
        <v>887</v>
      </c>
      <c r="C564" s="21" t="str">
        <f>vlookup(B564,Vert_Mapper!$A$2:$C$567,2,0)</f>
        <v>Consumer Staples</v>
      </c>
      <c r="D564" s="21" t="str">
        <f>vlookup(B564,Vert_Mapper!$A$2:$C$567,3,0)</f>
        <v>Food &amp; Beverage Manufacturing</v>
      </c>
      <c r="E564" s="21" t="s">
        <v>26</v>
      </c>
      <c r="F564" s="21" t="s">
        <v>18</v>
      </c>
      <c r="G564" s="21" t="str">
        <f t="shared" si="1"/>
        <v>FLAT TO NEUTRAL</v>
      </c>
      <c r="H564" s="21" t="s">
        <v>888</v>
      </c>
      <c r="I564" s="24">
        <f>IFERROR(__xludf.DUMMYFUNCTION("ROUND(
  MAX(
    MIN(
      (
        (VALUE(INDEX(SPLIT(K564,""-""),1)) + VALUE(INDEX(SPLIT(K564,""-""),2))) / 2
      ) *
      IFS(
        L564&gt;0.4, 1.6,
        L564&gt;0.1, 1.3,
        L564&gt;=-0.05, 1,
        L564&gt;=-0.2, 0.85,
        TRUE, 0.7
     "&amp;" ),
      VALUE(INDEX(SPLIT(K564,""-""),2))
    ),
    VALUE(INDEX(SPLIT(K564,""-""),1))
  )
)"),31.0)</f>
        <v>31</v>
      </c>
      <c r="J564" s="25">
        <f>I564*(VLOOKUP(C564,'Rev_Mapping Table'!$A$1:$C$12,3,0))</f>
        <v>17236000</v>
      </c>
      <c r="K564" s="24" t="s">
        <v>25</v>
      </c>
      <c r="L564" s="26">
        <v>0.01</v>
      </c>
      <c r="M564" s="27" t="str">
        <f>VLOOKUP(B564,Master_Mapper!$A$2:$C$628,3,0)</f>
        <v>Cerity Partners</v>
      </c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</row>
    <row r="565">
      <c r="A565" s="13" t="b">
        <v>1</v>
      </c>
      <c r="B565" s="14" t="s">
        <v>889</v>
      </c>
      <c r="C565" s="13" t="str">
        <f>vlookup(B565,Vert_Mapper!$A$2:$C$567,2,0)</f>
        <v>Information Technology</v>
      </c>
      <c r="D565" s="13" t="str">
        <f>vlookup(B565,Vert_Mapper!$A$2:$C$567,3,0)</f>
        <v>Software &amp; SaaS</v>
      </c>
      <c r="E565" s="13" t="s">
        <v>26</v>
      </c>
      <c r="F565" s="13" t="s">
        <v>18</v>
      </c>
      <c r="G565" s="13" t="str">
        <f t="shared" si="1"/>
        <v>GROWTH PHASE</v>
      </c>
      <c r="H565" s="13" t="s">
        <v>890</v>
      </c>
      <c r="I565" s="16">
        <f>IFERROR(__xludf.DUMMYFUNCTION("ROUND(
  MAX(
    MIN(
      (
        (VALUE(INDEX(SPLIT(K565,""-""),1)) + VALUE(INDEX(SPLIT(K565,""-""),2))) / 2
      ) *
      IFS(
        L565&gt;0.4, 1.6,
        L565&gt;0.1, 1.3,
        L565&gt;=-0.05, 1,
        L565&gt;=-0.2, 0.85,
        TRUE, 0.7
     "&amp;" ),
      VALUE(INDEX(SPLIT(K565,""-""),2))
    ),
    VALUE(INDEX(SPLIT(K565,""-""),1))
  )
)"),31.0)</f>
        <v>31</v>
      </c>
      <c r="J565" s="17">
        <f>I565*(VLOOKUP(C565,'Rev_Mapping Table'!$A$1:$C$12,3,0))</f>
        <v>17484000</v>
      </c>
      <c r="K565" s="16" t="s">
        <v>25</v>
      </c>
      <c r="L565" s="18">
        <v>0.06</v>
      </c>
      <c r="M565" s="19" t="str">
        <f>VLOOKUP(B565,Master_Mapper!$A$2:$C$628,3,0)</f>
        <v>Cerity Partners</v>
      </c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</row>
    <row r="566">
      <c r="A566" s="21" t="b">
        <v>0</v>
      </c>
      <c r="B566" s="31" t="s">
        <v>891</v>
      </c>
      <c r="C566" s="21" t="str">
        <f>vlookup(B566,Vert_Mapper!$A$2:$C$567,2,0)</f>
        <v>Healthcare</v>
      </c>
      <c r="D566" s="21" t="str">
        <f>vlookup(B566,Vert_Mapper!$A$2:$C$567,3,0)</f>
        <v>Medical Devices &amp; Technology</v>
      </c>
      <c r="E566" s="21" t="s">
        <v>26</v>
      </c>
      <c r="F566" s="21" t="s">
        <v>18</v>
      </c>
      <c r="G566" s="21" t="str">
        <f t="shared" si="1"/>
        <v>FLAT TO NEUTRAL</v>
      </c>
      <c r="H566" s="21" t="s">
        <v>427</v>
      </c>
      <c r="I566" s="24">
        <f>IFERROR(__xludf.DUMMYFUNCTION("ROUND(
  MAX(
    MIN(
      (
        (VALUE(INDEX(SPLIT(K566,""-""),1)) + VALUE(INDEX(SPLIT(K566,""-""),2))) / 2
      ) *
      IFS(
        L566&gt;0.4, 1.6,
        L566&gt;0.1, 1.3,
        L566&gt;=-0.05, 1,
        L566&gt;=-0.2, 0.85,
        TRUE, 0.7
     "&amp;" ),
      VALUE(INDEX(SPLIT(K566,""-""),2))
    ),
    VALUE(INDEX(SPLIT(K566,""-""),1))
  )
)"),31.0)</f>
        <v>31</v>
      </c>
      <c r="J566" s="25">
        <f>I566*(VLOOKUP(C566,'Rev_Mapping Table'!$A$1:$C$12,3,0))</f>
        <v>17236000</v>
      </c>
      <c r="K566" s="24" t="s">
        <v>25</v>
      </c>
      <c r="L566" s="26">
        <v>0.0</v>
      </c>
      <c r="M566" s="27" t="str">
        <f>VLOOKUP(B566,Master_Mapper!$A$2:$C$628,3,0)</f>
        <v>Cerity Partners</v>
      </c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</row>
    <row r="567">
      <c r="A567" s="13" t="b">
        <v>1</v>
      </c>
      <c r="B567" s="14" t="s">
        <v>892</v>
      </c>
      <c r="C567" s="13" t="str">
        <f>vlookup(B567,Vert_Mapper!$A$2:$C$567,2,0)</f>
        <v>Healthcare</v>
      </c>
      <c r="D567" s="13" t="str">
        <f>vlookup(B567,Vert_Mapper!$A$2:$C$567,3,0)</f>
        <v>Clinical Research &amp; Services</v>
      </c>
      <c r="E567" s="13" t="s">
        <v>26</v>
      </c>
      <c r="F567" s="13" t="s">
        <v>18</v>
      </c>
      <c r="G567" s="13" t="str">
        <f t="shared" si="1"/>
        <v>ACCELERATED GROWTH</v>
      </c>
      <c r="H567" s="13" t="s">
        <v>151</v>
      </c>
      <c r="I567" s="16">
        <f>IFERROR(__xludf.DUMMYFUNCTION("ROUND(
  MAX(
    MIN(
      (
        (VALUE(INDEX(SPLIT(K567,""-""),1)) + VALUE(INDEX(SPLIT(K567,""-""),2))) / 2
      ) *
      IFS(
        L567&gt;0.4, 1.6,
        L567&gt;0.1, 1.3,
        L567&gt;=-0.05, 1,
        L567&gt;=-0.2, 0.85,
        TRUE, 0.7
     "&amp;" ),
      VALUE(INDEX(SPLIT(K567,""-""),2))
    ),
    VALUE(INDEX(SPLIT(K567,""-""),1))
  )
)"),40.0)</f>
        <v>40</v>
      </c>
      <c r="J567" s="17">
        <f>I567*(VLOOKUP(C567,'Rev_Mapping Table'!$A$1:$C$12,3,0))</f>
        <v>22240000</v>
      </c>
      <c r="K567" s="16" t="s">
        <v>25</v>
      </c>
      <c r="L567" s="18">
        <v>0.24</v>
      </c>
      <c r="M567" s="19" t="str">
        <f>VLOOKUP(B567,Master_Mapper!$A$2:$C$628,3,0)</f>
        <v>QHP Capital</v>
      </c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</row>
    <row r="568">
      <c r="A568" s="21" t="b">
        <v>0</v>
      </c>
      <c r="B568" s="31" t="s">
        <v>893</v>
      </c>
      <c r="C568" s="21" t="str">
        <f>vlookup(B568,Vert_Mapper!$A$2:$C$567,2,0)</f>
        <v>Information</v>
      </c>
      <c r="D568" s="21" t="str">
        <f>vlookup(B568,Vert_Mapper!$A$2:$C$567,3,0)</f>
        <v/>
      </c>
      <c r="E568" s="21" t="s">
        <v>26</v>
      </c>
      <c r="F568" s="21" t="s">
        <v>18</v>
      </c>
      <c r="G568" s="21" t="str">
        <f t="shared" si="1"/>
        <v>FLAT TO NEUTRAL</v>
      </c>
      <c r="H568" s="21" t="s">
        <v>894</v>
      </c>
      <c r="I568" s="24">
        <f>IFERROR(__xludf.DUMMYFUNCTION("ROUND(
  MAX(
    MIN(
      (
        (VALUE(INDEX(SPLIT(K568,""-""),1)) + VALUE(INDEX(SPLIT(K568,""-""),2))) / 2
      ) *
      IFS(
        L568&gt;0.4, 1.6,
        L568&gt;0.1, 1.3,
        L568&gt;=-0.05, 1,
        L568&gt;=-0.2, 0.85,
        TRUE, 0.7
     "&amp;" ),
      VALUE(INDEX(SPLIT(K568,""-""),2))
    ),
    VALUE(INDEX(SPLIT(K568,""-""),1))
  )
)"),351.0)</f>
        <v>351</v>
      </c>
      <c r="J568" s="25" t="str">
        <f>I568*(VLOOKUP(C568,'Rev_Mapping Table'!$A$1:$C$12,3,0))</f>
        <v>#N/A</v>
      </c>
      <c r="K568" s="24" t="s">
        <v>20</v>
      </c>
      <c r="L568" s="26">
        <v>0.0</v>
      </c>
      <c r="M568" s="27" t="str">
        <f>VLOOKUP(B568,Master_Mapper!$A$2:$C$628,3,0)</f>
        <v>Vibora Capital</v>
      </c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</row>
    <row r="569">
      <c r="A569" s="13" t="b">
        <v>1</v>
      </c>
      <c r="B569" s="14" t="s">
        <v>895</v>
      </c>
      <c r="C569" s="13" t="str">
        <f>vlookup(B569,Vert_Mapper!$A$2:$C$625,2,0)</f>
        <v>Information Technology</v>
      </c>
      <c r="D569" s="13" t="str">
        <f>vlookup(B569,Vert_Mapper!$A$2:$C$625,3,0)</f>
        <v>Software &amp; SaaS</v>
      </c>
      <c r="E569" s="13" t="s">
        <v>26</v>
      </c>
      <c r="F569" s="13" t="s">
        <v>18</v>
      </c>
      <c r="G569" s="13" t="str">
        <f t="shared" si="1"/>
        <v>ACCELERATED GROWTH</v>
      </c>
      <c r="H569" s="13" t="s">
        <v>117</v>
      </c>
      <c r="I569" s="16">
        <f>IFERROR(__xludf.DUMMYFUNCTION("ROUND(
  MAX(
    MIN(
      (
        (VALUE(INDEX(SPLIT(K569,""-""),1)) + VALUE(INDEX(SPLIT(K569,""-""),2))) / 2
      ) *
      IFS(
        L569&gt;0.4, 1.6,
        L569&gt;0.1, 1.3,
        L569&gt;=-0.05, 1,
        L569&gt;=-0.2, 0.85,
        TRUE, 0.7
     "&amp;" ),
      VALUE(INDEX(SPLIT(K569,""-""),2))
    ),
    VALUE(INDEX(SPLIT(K569,""-""),1))
  )
)"),49.0)</f>
        <v>49</v>
      </c>
      <c r="J569" s="17">
        <f>I569*(VLOOKUP(C569,'Rev_Mapping Table'!$A$1:$C$12,3,0))</f>
        <v>27636000</v>
      </c>
      <c r="K569" s="16" t="s">
        <v>25</v>
      </c>
      <c r="L569" s="18">
        <v>0.7</v>
      </c>
      <c r="M569" s="19" t="str">
        <f>VLOOKUP(B569,Master_Mapper!$A$2:$C$628,3,0)</f>
        <v>VentureSouth</v>
      </c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</row>
    <row r="570">
      <c r="A570" s="21" t="b">
        <v>0</v>
      </c>
      <c r="B570" s="31" t="s">
        <v>896</v>
      </c>
      <c r="C570" s="21" t="str">
        <f>vlookup(B570,Vert_Mapper!$A$2:$C$625,2,0)</f>
        <v>Healthcare</v>
      </c>
      <c r="D570" s="21" t="str">
        <f>vlookup(B570,Vert_Mapper!$A$2:$C$625,3,0)</f>
        <v>Medical Devices &amp; Technology</v>
      </c>
      <c r="E570" s="21" t="s">
        <v>85</v>
      </c>
      <c r="F570" s="21" t="s">
        <v>86</v>
      </c>
      <c r="G570" s="21" t="str">
        <f t="shared" si="1"/>
        <v>ACCELERATED GROWTH</v>
      </c>
      <c r="H570" s="21" t="s">
        <v>510</v>
      </c>
      <c r="I570" s="24">
        <f>IFERROR(__xludf.DUMMYFUNCTION("ROUND(
  MAX(
    MIN(
      (
        (VALUE(INDEX(SPLIT(K570,""-""),1)) + VALUE(INDEX(SPLIT(K570,""-""),2))) / 2
      ) *
      IFS(
        L570&gt;0.4, 1.6,
        L570&gt;0.1, 1.3,
        L570&gt;=-0.05, 1,
        L570&gt;=-0.2, 0.85,
        TRUE, 0.7
     "&amp;" ),
      VALUE(INDEX(SPLIT(K570,""-""),2))
    ),
    VALUE(INDEX(SPLIT(K570,""-""),1))
  )
)"),10.0)</f>
        <v>10</v>
      </c>
      <c r="J570" s="25">
        <f>I570*(VLOOKUP(C570,'Rev_Mapping Table'!$A$1:$C$12,3,0))</f>
        <v>5560000</v>
      </c>
      <c r="K570" s="32">
        <v>45698.0</v>
      </c>
      <c r="L570" s="26">
        <v>0.6</v>
      </c>
      <c r="M570" s="27" t="str">
        <f>VLOOKUP(B570,Master_Mapper!$A$2:$C$628,3,0)</f>
        <v>Harbright Ventures</v>
      </c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</row>
    <row r="571">
      <c r="A571" s="13" t="b">
        <v>0</v>
      </c>
      <c r="B571" s="14" t="s">
        <v>897</v>
      </c>
      <c r="C571" s="13" t="str">
        <f>vlookup(B571,Vert_Mapper!$A$2:$C$625,2,0)</f>
        <v>Industrials</v>
      </c>
      <c r="D571" s="13" t="str">
        <f>vlookup(B571,Vert_Mapper!$A$2:$C$625,3,0)</f>
        <v>Industrial Equipment &amp; Services</v>
      </c>
      <c r="E571" s="13" t="s">
        <v>138</v>
      </c>
      <c r="F571" s="13" t="s">
        <v>18</v>
      </c>
      <c r="G571" s="13" t="str">
        <f t="shared" si="1"/>
        <v>GROWTH PHASE</v>
      </c>
      <c r="H571" s="13" t="s">
        <v>577</v>
      </c>
      <c r="I571" s="16">
        <f>IFERROR(__xludf.DUMMYFUNCTION("ROUND(
  MAX(
    MIN(
      (
        (VALUE(INDEX(SPLIT(K571,""-""),1)) + VALUE(INDEX(SPLIT(K571,""-""),2))) / 2
      ) *
      IFS(
        L571&gt;0.4, 1.6,
        L571&gt;0.1, 1.3,
        L571&gt;=-0.05, 1,
        L571&gt;=-0.2, 0.85,
        TRUE, 0.7
     "&amp;" ),
      VALUE(INDEX(SPLIT(K571,""-""),2))
    ),
    VALUE(INDEX(SPLIT(K571,""-""),1))
  )
)"),751.0)</f>
        <v>751</v>
      </c>
      <c r="J571" s="17">
        <f>I571*(VLOOKUP(C571,'Rev_Mapping Table'!$A$1:$C$12,3,0))</f>
        <v>370243000</v>
      </c>
      <c r="K571" s="16" t="s">
        <v>54</v>
      </c>
      <c r="L571" s="18">
        <v>0.06</v>
      </c>
      <c r="M571" s="19" t="str">
        <f>VLOOKUP(B571,Master_Mapper!$A$2:$C$628,3,0)</f>
        <v>Blue Point Capital Partners</v>
      </c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</row>
    <row r="572">
      <c r="A572" s="21" t="b">
        <v>0</v>
      </c>
      <c r="B572" s="31" t="s">
        <v>898</v>
      </c>
      <c r="C572" s="21" t="str">
        <f>vlookup(B572,Vert_Mapper!$A$2:$C$625,2,0)</f>
        <v>Information Technology</v>
      </c>
      <c r="D572" s="21" t="str">
        <f>vlookup(B572,Vert_Mapper!$A$2:$C$625,3,0)</f>
        <v>Security &amp; Cybersecurity</v>
      </c>
      <c r="E572" s="21" t="s">
        <v>26</v>
      </c>
      <c r="F572" s="21" t="s">
        <v>18</v>
      </c>
      <c r="G572" s="21" t="str">
        <f t="shared" si="1"/>
        <v>GROWTH PHASE</v>
      </c>
      <c r="H572" s="21" t="s">
        <v>855</v>
      </c>
      <c r="I572" s="24">
        <f>IFERROR(__xludf.DUMMYFUNCTION("ROUND(
  MAX(
    MIN(
      (
        (VALUE(INDEX(SPLIT(K572,""-""),1)) + VALUE(INDEX(SPLIT(K572,""-""),2))) / 2
      ) *
      IFS(
        L572&gt;0.4, 1.6,
        L572&gt;0.1, 1.3,
        L572&gt;=-0.05, 1,
        L572&gt;=-0.2, 0.85,
        TRUE, 0.7
     "&amp;" ),
      VALUE(INDEX(SPLIT(K572,""-""),2))
    ),
    VALUE(INDEX(SPLIT(K572,""-""),1))
  )
)"),751.0)</f>
        <v>751</v>
      </c>
      <c r="J572" s="25">
        <f>I572*(VLOOKUP(C572,'Rev_Mapping Table'!$A$1:$C$12,3,0))</f>
        <v>423564000</v>
      </c>
      <c r="K572" s="24" t="s">
        <v>54</v>
      </c>
      <c r="L572" s="26">
        <v>0.08</v>
      </c>
      <c r="M572" s="27" t="str">
        <f>VLOOKUP(B572,Master_Mapper!$A$2:$C$628,3,0)</f>
        <v>Monomoy Capital Partners</v>
      </c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</row>
    <row r="573">
      <c r="A573" s="13" t="b">
        <v>0</v>
      </c>
      <c r="B573" s="14" t="s">
        <v>899</v>
      </c>
      <c r="C573" s="13" t="str">
        <f>vlookup(B573,Vert_Mapper!$A$2:$C$625,2,0)</f>
        <v>Information Technology</v>
      </c>
      <c r="D573" s="13" t="str">
        <f>vlookup(B573,Vert_Mapper!$A$2:$C$625,3,0)</f>
        <v>Software &amp; SaaS</v>
      </c>
      <c r="E573" s="13" t="s">
        <v>79</v>
      </c>
      <c r="F573" s="13" t="s">
        <v>18</v>
      </c>
      <c r="G573" s="13" t="str">
        <f t="shared" si="1"/>
        <v>GROWTH PHASE</v>
      </c>
      <c r="H573" s="13" t="s">
        <v>900</v>
      </c>
      <c r="I573" s="16">
        <f>IFERROR(__xludf.DUMMYFUNCTION("ROUND(
  MAX(
    MIN(
      (
        (VALUE(INDEX(SPLIT(K573,""-""),1)) + VALUE(INDEX(SPLIT(K573,""-""),2))) / 2
      ) *
      IFS(
        L573&gt;0.4, 1.6,
        L573&gt;0.1, 1.3,
        L573&gt;=-0.05, 1,
        L573&gt;=-0.2, 0.85,
        TRUE, 0.7
     "&amp;" ),
      VALUE(INDEX(SPLIT(K573,""-""),2))
    ),
    VALUE(INDEX(SPLIT(K573,""-""),1))
  )
)"),163.0)</f>
        <v>163</v>
      </c>
      <c r="J573" s="17">
        <f>I573*(VLOOKUP(C573,'Rev_Mapping Table'!$A$1:$C$12,3,0))</f>
        <v>91932000</v>
      </c>
      <c r="K573" s="16" t="s">
        <v>32</v>
      </c>
      <c r="L573" s="18">
        <v>0.16</v>
      </c>
      <c r="M573" s="19" t="str">
        <f>VLOOKUP(B573,Master_Mapper!$A$2:$C$628,3,0)</f>
        <v>Route 2 Capital Partners</v>
      </c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</row>
    <row r="574">
      <c r="A574" s="21" t="b">
        <v>0</v>
      </c>
      <c r="B574" s="31" t="s">
        <v>901</v>
      </c>
      <c r="C574" s="21" t="str">
        <f>vlookup(B574,Vert_Mapper!$A$2:$C$625,2,0)</f>
        <v>Real Estate</v>
      </c>
      <c r="D574" s="21" t="str">
        <f>vlookup(B574,Vert_Mapper!$A$2:$C$625,3,0)</f>
        <v>Real Estate Technology</v>
      </c>
      <c r="E574" s="21" t="s">
        <v>26</v>
      </c>
      <c r="F574" s="21" t="s">
        <v>18</v>
      </c>
      <c r="G574" s="21" t="str">
        <f t="shared" si="1"/>
        <v>DECLINING</v>
      </c>
      <c r="H574" s="21" t="s">
        <v>296</v>
      </c>
      <c r="I574" s="24">
        <f>IFERROR(__xludf.DUMMYFUNCTION("ROUND(
  MAX(
    MIN(
      (
        (VALUE(INDEX(SPLIT(K574,""-""),1)) + VALUE(INDEX(SPLIT(K574,""-""),2))) / 2
      ) *
      IFS(
        L574&gt;0.4, 1.6,
        L574&gt;0.1, 1.3,
        L574&gt;=-0.05, 1,
        L574&gt;=-0.2, 0.85,
        TRUE, 0.7
     "&amp;" ),
      VALUE(INDEX(SPLIT(K574,""-""),2))
    ),
    VALUE(INDEX(SPLIT(K574,""-""),1))
  )
)"),107.0)</f>
        <v>107</v>
      </c>
      <c r="J574" s="25">
        <f>I574*(VLOOKUP(C574,'Rev_Mapping Table'!$A$1:$C$12,3,0))</f>
        <v>49220000</v>
      </c>
      <c r="K574" s="24" t="s">
        <v>32</v>
      </c>
      <c r="L574" s="26">
        <v>-0.15</v>
      </c>
      <c r="M574" s="27" t="str">
        <f>VLOOKUP(B574,Master_Mapper!$A$2:$C$628,3,0)</f>
        <v>Cerity Partners</v>
      </c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</row>
    <row r="575">
      <c r="A575" s="13" t="b">
        <v>0</v>
      </c>
      <c r="B575" s="14" t="s">
        <v>902</v>
      </c>
      <c r="C575" s="13" t="str">
        <f>vlookup(B575,Vert_Mapper!$A$2:$C$625,2,0)</f>
        <v>Healthcare</v>
      </c>
      <c r="D575" s="13" t="str">
        <f>vlookup(B575,Vert_Mapper!$A$2:$C$625,3,0)</f>
        <v>Biotechnology &amp; Pharmaceuticals</v>
      </c>
      <c r="E575" s="13" t="s">
        <v>26</v>
      </c>
      <c r="F575" s="13" t="s">
        <v>18</v>
      </c>
      <c r="G575" s="13" t="str">
        <f t="shared" si="1"/>
        <v>DECLINING</v>
      </c>
      <c r="H575" s="13" t="s">
        <v>24</v>
      </c>
      <c r="I575" s="16">
        <f>IFERROR(__xludf.DUMMYFUNCTION("ROUND(
  MAX(
    MIN(
      (
        (VALUE(INDEX(SPLIT(K575,""-""),1)) + VALUE(INDEX(SPLIT(K575,""-""),2))) / 2
      ) *
      IFS(
        L575&gt;0.4, 1.6,
        L575&gt;0.1, 1.3,
        L575&gt;=-0.05, 1,
        L575&gt;=-0.2, 0.85,
        TRUE, 0.7
     "&amp;" ),
      VALUE(INDEX(SPLIT(K575,""-""),2))
    ),
    VALUE(INDEX(SPLIT(K575,""-""),1))
  )
)"),26.0)</f>
        <v>26</v>
      </c>
      <c r="J575" s="17">
        <f>I575*(VLOOKUP(C575,'Rev_Mapping Table'!$A$1:$C$12,3,0))</f>
        <v>14456000</v>
      </c>
      <c r="K575" s="16" t="s">
        <v>25</v>
      </c>
      <c r="L575" s="18">
        <v>-0.14</v>
      </c>
      <c r="M575" s="19" t="str">
        <f>VLOOKUP(B575,Master_Mapper!$A$2:$C$628,3,0)</f>
        <v>Cerity Partners</v>
      </c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</row>
    <row r="576">
      <c r="A576" s="21" t="b">
        <v>0</v>
      </c>
      <c r="B576" s="31" t="s">
        <v>903</v>
      </c>
      <c r="C576" s="21" t="str">
        <f>vlookup(B576,Vert_Mapper!$A$2:$C$625,2,0)</f>
        <v>Information Technology</v>
      </c>
      <c r="D576" s="21" t="str">
        <f>vlookup(B576,Vert_Mapper!$A$2:$C$625,3,0)</f>
        <v>Software &amp; SaaS</v>
      </c>
      <c r="E576" s="21" t="s">
        <v>26</v>
      </c>
      <c r="F576" s="21" t="s">
        <v>18</v>
      </c>
      <c r="G576" s="21" t="str">
        <f t="shared" si="1"/>
        <v>FLAT TO NEUTRAL</v>
      </c>
      <c r="H576" s="21" t="s">
        <v>100</v>
      </c>
      <c r="I576" s="24">
        <f>IFERROR(__xludf.DUMMYFUNCTION("ROUND(
  MAX(
    MIN(
      (
        (VALUE(INDEX(SPLIT(K576,""-""),1)) + VALUE(INDEX(SPLIT(K576,""-""),2))) / 2
      ) *
      IFS(
        L576&gt;0.4, 1.6,
        L576&gt;0.1, 1.3,
        L576&gt;=-0.05, 1,
        L576&gt;=-0.2, 0.85,
        TRUE, 0.7
     "&amp;" ),
      VALUE(INDEX(SPLIT(K576,""-""),2))
    ),
    VALUE(INDEX(SPLIT(K576,""-""),1))
  )
)"),31.0)</f>
        <v>31</v>
      </c>
      <c r="J576" s="25">
        <f>I576*(VLOOKUP(C576,'Rev_Mapping Table'!$A$1:$C$12,3,0))</f>
        <v>17484000</v>
      </c>
      <c r="K576" s="24" t="s">
        <v>25</v>
      </c>
      <c r="L576" s="26">
        <v>0.0</v>
      </c>
      <c r="M576" s="27" t="str">
        <f>VLOOKUP(B576,Master_Mapper!$A$2:$C$628,3,0)</f>
        <v>Cerity Partners</v>
      </c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</row>
    <row r="577">
      <c r="A577" s="13" t="b">
        <v>0</v>
      </c>
      <c r="B577" s="14" t="s">
        <v>904</v>
      </c>
      <c r="C577" s="13" t="str">
        <f>vlookup(B577,Vert_Mapper!$A$2:$C$625,2,0)</f>
        <v>Industrials</v>
      </c>
      <c r="D577" s="13" t="str">
        <f>vlookup(B577,Vert_Mapper!$A$2:$C$625,3,0)</f>
        <v>Maritime &amp; Marine Services</v>
      </c>
      <c r="E577" s="13" t="s">
        <v>26</v>
      </c>
      <c r="F577" s="13" t="s">
        <v>18</v>
      </c>
      <c r="G577" s="13" t="str">
        <f t="shared" si="1"/>
        <v>FLAT TO NEUTRAL</v>
      </c>
      <c r="H577" s="13" t="s">
        <v>317</v>
      </c>
      <c r="I577" s="16">
        <f>IFERROR(__xludf.DUMMYFUNCTION("ROUND(
  MAX(
    MIN(
      (
        (VALUE(INDEX(SPLIT(K577,""-""),1)) + VALUE(INDEX(SPLIT(K577,""-""),2))) / 2
      ) *
      IFS(
        L577&gt;0.4, 1.6,
        L577&gt;0.1, 1.3,
        L577&gt;=-0.05, 1,
        L577&gt;=-0.2, 0.85,
        TRUE, 0.7
     "&amp;" ),
      VALUE(INDEX(SPLIT(K577,""-""),2))
    ),
    VALUE(INDEX(SPLIT(K577,""-""),1))
  )
)"),351.0)</f>
        <v>351</v>
      </c>
      <c r="J577" s="17">
        <f>I577*(VLOOKUP(C577,'Rev_Mapping Table'!$A$1:$C$12,3,0))</f>
        <v>173043000</v>
      </c>
      <c r="K577" s="16" t="s">
        <v>20</v>
      </c>
      <c r="L577" s="18">
        <v>0.01</v>
      </c>
      <c r="M577" s="19" t="str">
        <f>VLOOKUP(B577,Master_Mapper!$A$2:$C$628,3,0)</f>
        <v>Pamlico Capital</v>
      </c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</row>
    <row r="578">
      <c r="A578" s="21" t="b">
        <v>0</v>
      </c>
      <c r="B578" s="31" t="s">
        <v>905</v>
      </c>
      <c r="C578" s="21" t="str">
        <f>vlookup(B578,Vert_Mapper!$A$2:$C$625,2,0)</f>
        <v>Healthcare</v>
      </c>
      <c r="D578" s="21" t="str">
        <f>vlookup(B578,Vert_Mapper!$A$2:$C$625,3,0)</f>
        <v>Healthcare Technology &amp; Analytics</v>
      </c>
      <c r="E578" s="21" t="s">
        <v>26</v>
      </c>
      <c r="F578" s="21" t="s">
        <v>18</v>
      </c>
      <c r="G578" s="21" t="str">
        <f t="shared" si="1"/>
        <v>GROWTH PHASE</v>
      </c>
      <c r="H578" s="21" t="s">
        <v>24</v>
      </c>
      <c r="I578" s="24">
        <f>IFERROR(__xludf.DUMMYFUNCTION("ROUND(
  MAX(
    MIN(
      (
        (VALUE(INDEX(SPLIT(K578,""-""),1)) + VALUE(INDEX(SPLIT(K578,""-""),2))) / 2
      ) *
      IFS(
        L578&gt;0.4, 1.6,
        L578&gt;0.1, 1.3,
        L578&gt;=-0.05, 1,
        L578&gt;=-0.2, 0.85,
        TRUE, 0.7
     "&amp;" ),
      VALUE(INDEX(SPLIT(K578,""-""),2))
    ),
    VALUE(INDEX(SPLIT(K578,""-""),1))
  )
)"),31.0)</f>
        <v>31</v>
      </c>
      <c r="J578" s="25">
        <f>I578*(VLOOKUP(C578,'Rev_Mapping Table'!$A$1:$C$12,3,0))</f>
        <v>17236000</v>
      </c>
      <c r="K578" s="24" t="s">
        <v>25</v>
      </c>
      <c r="L578" s="26">
        <v>0.09</v>
      </c>
      <c r="M578" s="27" t="str">
        <f>VLOOKUP(B578,Master_Mapper!$A$2:$C$628,3,0)</f>
        <v>Cerity Partners</v>
      </c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</row>
    <row r="579">
      <c r="A579" s="13" t="b">
        <v>0</v>
      </c>
      <c r="B579" s="14" t="s">
        <v>906</v>
      </c>
      <c r="C579" s="13" t="str">
        <f>vlookup(B579,Vert_Mapper!$A$2:$C$625,2,0)</f>
        <v>Industrials</v>
      </c>
      <c r="D579" s="13" t="str">
        <f>vlookup(B579,Vert_Mapper!$A$2:$C$625,3,0)</f>
        <v>Industrial Equipment &amp; Services</v>
      </c>
      <c r="E579" s="13" t="s">
        <v>26</v>
      </c>
      <c r="F579" s="13" t="s">
        <v>18</v>
      </c>
      <c r="G579" s="13" t="str">
        <f t="shared" si="1"/>
        <v>HYPERGROWTH</v>
      </c>
      <c r="H579" s="13" t="s">
        <v>131</v>
      </c>
      <c r="I579" s="16" t="str">
        <f>IFERROR(__xludf.DUMMYFUNCTION("ROUND(
  MAX(
    MIN(
      (
        (VALUE(INDEX(SPLIT(K579,""-""),1)) + VALUE(INDEX(SPLIT(K579,""-""),2))) / 2
      ) *
      IFS(
        L579&gt;0.4, 1.6,
        L579&gt;0.1, 1.3,
        L579&gt;=-0.05, 1,
        L579&gt;=-0.2, 0.85,
        TRUE, 0.7
     "&amp;" ),
      VALUE(INDEX(SPLIT(K579,""-""),2))
    ),
    VALUE(INDEX(SPLIT(K579,""-""),1))
  )
)"),"#VALUE!")</f>
        <v>#VALUE!</v>
      </c>
      <c r="J579" s="17" t="str">
        <f>I579*(VLOOKUP(C579,'Rev_Mapping Table'!$A$1:$C$12,3,0))</f>
        <v>#VALUE!</v>
      </c>
      <c r="K579" s="33" t="s">
        <v>131</v>
      </c>
      <c r="L579" s="33" t="s">
        <v>131</v>
      </c>
      <c r="M579" s="19" t="str">
        <f>VLOOKUP(B579,Master_Mapper!$A$2:$C$628,3,0)</f>
        <v>Vibora Capital</v>
      </c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</row>
    <row r="580">
      <c r="A580" s="21" t="b">
        <v>0</v>
      </c>
      <c r="B580" s="31" t="s">
        <v>907</v>
      </c>
      <c r="C580" s="21" t="str">
        <f>vlookup(B580,Vert_Mapper!$A$2:$C$625,2,0)</f>
        <v>Communications</v>
      </c>
      <c r="D580" s="21" t="str">
        <f>vlookup(B580,Vert_Mapper!$A$2:$C$625,3,0)</f>
        <v>Media &amp; Entertainment Technology</v>
      </c>
      <c r="E580" s="21" t="s">
        <v>26</v>
      </c>
      <c r="F580" s="21" t="s">
        <v>18</v>
      </c>
      <c r="G580" s="21" t="str">
        <f t="shared" si="1"/>
        <v>GROWTH PHASE</v>
      </c>
      <c r="H580" s="21" t="s">
        <v>83</v>
      </c>
      <c r="I580" s="24">
        <f>IFERROR(__xludf.DUMMYFUNCTION("ROUND(
  MAX(
    MIN(
      (
        (VALUE(INDEX(SPLIT(K580,""-""),1)) + VALUE(INDEX(SPLIT(K580,""-""),2))) / 2
      ) *
      IFS(
        L580&gt;0.4, 1.6,
        L580&gt;0.1, 1.3,
        L580&gt;=-0.05, 1,
        L580&gt;=-0.2, 0.85,
        TRUE, 0.7
     "&amp;" ),
      VALUE(INDEX(SPLIT(K580,""-""),2))
    ),
    VALUE(INDEX(SPLIT(K580,""-""),1))
  )
)"),31.0)</f>
        <v>31</v>
      </c>
      <c r="J580" s="25">
        <f>I580*(VLOOKUP(C580,'Rev_Mapping Table'!$A$1:$C$12,3,0))</f>
        <v>17484000</v>
      </c>
      <c r="K580" s="24" t="s">
        <v>25</v>
      </c>
      <c r="L580" s="26">
        <v>0.07</v>
      </c>
      <c r="M580" s="27" t="str">
        <f>VLOOKUP(B580,Master_Mapper!$A$2:$C$628,3,0)</f>
        <v>Cerity Partners</v>
      </c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</row>
    <row r="581">
      <c r="A581" s="13" t="b">
        <v>0</v>
      </c>
      <c r="B581" s="14" t="s">
        <v>908</v>
      </c>
      <c r="C581" s="13" t="str">
        <f>vlookup(B581,Vert_Mapper!$A$2:$C$625,2,0)</f>
        <v>Information Technology</v>
      </c>
      <c r="D581" s="13" t="str">
        <f>vlookup(B581,Vert_Mapper!$A$2:$C$625,3,0)</f>
        <v>Artificial Intelligence &amp; Machine Learning</v>
      </c>
      <c r="E581" s="13" t="s">
        <v>26</v>
      </c>
      <c r="F581" s="13" t="s">
        <v>18</v>
      </c>
      <c r="G581" s="13" t="str">
        <f t="shared" si="1"/>
        <v>ACCELERATED GROWTH</v>
      </c>
      <c r="H581" s="13" t="s">
        <v>24</v>
      </c>
      <c r="I581" s="16">
        <f>IFERROR(__xludf.DUMMYFUNCTION("ROUND(
  MAX(
    MIN(
      (
        (VALUE(INDEX(SPLIT(K581,""-""),1)) + VALUE(INDEX(SPLIT(K581,""-""),2))) / 2
      ) *
      IFS(
        L581&gt;0.4, 1.6,
        L581&gt;0.1, 1.3,
        L581&gt;=-0.05, 1,
        L581&gt;=-0.2, 0.85,
        TRUE, 0.7
     "&amp;" ),
      VALUE(INDEX(SPLIT(K581,""-""),2))
    ),
    VALUE(INDEX(SPLIT(K581,""-""),1))
  )
)"),163.0)</f>
        <v>163</v>
      </c>
      <c r="J581" s="17">
        <f>I581*(VLOOKUP(C581,'Rev_Mapping Table'!$A$1:$C$12,3,0))</f>
        <v>91932000</v>
      </c>
      <c r="K581" s="16" t="s">
        <v>32</v>
      </c>
      <c r="L581" s="18">
        <v>0.27</v>
      </c>
      <c r="M581" s="19" t="str">
        <f>VLOOKUP(B581,Master_Mapper!$A$2:$C$628,3,0)</f>
        <v>VentureSouth</v>
      </c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</row>
    <row r="582">
      <c r="A582" s="21" t="b">
        <v>0</v>
      </c>
      <c r="B582" s="31" t="s">
        <v>909</v>
      </c>
      <c r="C582" s="21" t="str">
        <f>vlookup(B582,Vert_Mapper!$A$2:$C$625,2,0)</f>
        <v>Industrials</v>
      </c>
      <c r="D582" s="21" t="str">
        <f>vlookup(B582,Vert_Mapper!$A$2:$C$625,3,0)</f>
        <v>Maritime &amp; Marine Services</v>
      </c>
      <c r="E582" s="21" t="s">
        <v>121</v>
      </c>
      <c r="F582" s="21" t="s">
        <v>34</v>
      </c>
      <c r="G582" s="21" t="str">
        <f t="shared" si="1"/>
        <v>HYPERGROWTH</v>
      </c>
      <c r="H582" s="21" t="s">
        <v>433</v>
      </c>
      <c r="I582" s="24" t="str">
        <f>IFERROR(__xludf.DUMMYFUNCTION("ROUND(
  MAX(
    MIN(
      (
        (VALUE(INDEX(SPLIT(K582,""-""),1)) + VALUE(INDEX(SPLIT(K582,""-""),2))) / 2
      ) *
      IFS(
        L582&gt;0.4, 1.6,
        L582&gt;0.1, 1.3,
        L582&gt;=-0.05, 1,
        L582&gt;=-0.2, 0.85,
        TRUE, 0.7
     "&amp;" ),
      VALUE(INDEX(SPLIT(K582,""-""),2))
    ),
    VALUE(INDEX(SPLIT(K582,""-""),1))
  )
)"),"#VALUE!")</f>
        <v>#VALUE!</v>
      </c>
      <c r="J582" s="25" t="str">
        <f>I582*(VLOOKUP(C582,'Rev_Mapping Table'!$A$1:$C$12,3,0))</f>
        <v>#VALUE!</v>
      </c>
      <c r="K582" s="35" t="s">
        <v>433</v>
      </c>
      <c r="L582" s="35" t="s">
        <v>433</v>
      </c>
      <c r="M582" s="27" t="str">
        <f>VLOOKUP(B582,Master_Mapper!$A$2:$C$628,3,0)</f>
        <v>S23 Holdings</v>
      </c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</row>
    <row r="583">
      <c r="A583" s="13" t="b">
        <v>0</v>
      </c>
      <c r="B583" s="14" t="s">
        <v>910</v>
      </c>
      <c r="C583" s="13" t="str">
        <f>vlookup(B583,Vert_Mapper!$A$2:$C$625,2,0)</f>
        <v>#N/A</v>
      </c>
      <c r="D583" s="13" t="str">
        <f>vlookup(B583,Vert_Mapper!$A$2:$C$625,3,0)</f>
        <v>#N/A</v>
      </c>
      <c r="E583" s="13" t="s">
        <v>138</v>
      </c>
      <c r="F583" s="13" t="s">
        <v>18</v>
      </c>
      <c r="G583" s="13" t="str">
        <f t="shared" si="1"/>
        <v>GROWTH PHASE</v>
      </c>
      <c r="H583" s="13" t="s">
        <v>911</v>
      </c>
      <c r="I583" s="16">
        <f>IFERROR(__xludf.DUMMYFUNCTION("ROUND(
  MAX(
    MIN(
      (
        (VALUE(INDEX(SPLIT(K583,""-""),1)) + VALUE(INDEX(SPLIT(K583,""-""),2))) / 2
      ) *
      IFS(
        L583&gt;0.4, 1.6,
        L583&gt;0.1, 1.3,
        L583&gt;=-0.05, 1,
        L583&gt;=-0.2, 0.85,
        TRUE, 0.7
     "&amp;" ),
      VALUE(INDEX(SPLIT(K583,""-""),2))
    ),
    VALUE(INDEX(SPLIT(K583,""-""),1))
  )
)"),3001.0)</f>
        <v>3001</v>
      </c>
      <c r="J583" s="17" t="str">
        <f>I583*(VLOOKUP(C583,'Rev_Mapping Table'!$A$1:$C$12,3,0))</f>
        <v>#N/A</v>
      </c>
      <c r="K583" s="16" t="s">
        <v>96</v>
      </c>
      <c r="L583" s="18">
        <v>0.06</v>
      </c>
      <c r="M583" s="19" t="str">
        <f>VLOOKUP(B583,Master_Mapper!$A$2:$C$628,3,0)</f>
        <v>Monomoy Capital Partners</v>
      </c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</row>
    <row r="584">
      <c r="A584" s="21" t="b">
        <v>0</v>
      </c>
      <c r="B584" s="31" t="s">
        <v>912</v>
      </c>
      <c r="C584" s="21" t="str">
        <f>vlookup(B584,Vert_Mapper!$A$2:$C$625,2,0)</f>
        <v>Financials</v>
      </c>
      <c r="D584" s="21" t="str">
        <f>vlookup(B584,Vert_Mapper!$A$2:$C$625,3,0)</f>
        <v>Financial Technology &amp; Investment Services</v>
      </c>
      <c r="E584" s="21" t="s">
        <v>26</v>
      </c>
      <c r="F584" s="21" t="s">
        <v>18</v>
      </c>
      <c r="G584" s="21" t="str">
        <f t="shared" si="1"/>
        <v>SEVERELY NEGATIVE</v>
      </c>
      <c r="H584" s="21" t="s">
        <v>913</v>
      </c>
      <c r="I584" s="24">
        <f>IFERROR(__xludf.DUMMYFUNCTION("ROUND(
  MAX(
    MIN(
      (
        (VALUE(INDEX(SPLIT(K584,""-""),1)) + VALUE(INDEX(SPLIT(K584,""-""),2))) / 2
      ) *
      IFS(
        L584&gt;0.4, 1.6,
        L584&gt;0.1, 1.3,
        L584&gt;=-0.05, 1,
        L584&gt;=-0.2, 0.85,
        TRUE, 0.7
     "&amp;" ),
      VALUE(INDEX(SPLIT(K584,""-""),2))
    ),
    VALUE(INDEX(SPLIT(K584,""-""),1))
  )
)"),21.0)</f>
        <v>21</v>
      </c>
      <c r="J584" s="25">
        <f>I584*(VLOOKUP(C584,'Rev_Mapping Table'!$A$1:$C$12,3,0))</f>
        <v>19005000</v>
      </c>
      <c r="K584" s="24" t="s">
        <v>25</v>
      </c>
      <c r="L584" s="26">
        <v>-0.4</v>
      </c>
      <c r="M584" s="27" t="str">
        <f>VLOOKUP(B584,Master_Mapper!$A$2:$C$628,3,0)</f>
        <v/>
      </c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</row>
    <row r="585">
      <c r="A585" s="13" t="b">
        <v>1</v>
      </c>
      <c r="B585" s="14" t="s">
        <v>914</v>
      </c>
      <c r="C585" s="13" t="str">
        <f>vlookup(B585,Vert_Mapper!$A$2:$C$625,2,0)</f>
        <v>Financials</v>
      </c>
      <c r="D585" s="13" t="str">
        <f>vlookup(B585,Vert_Mapper!$A$2:$C$625,3,0)</f>
        <v>Financial Technology &amp; Investment Services</v>
      </c>
      <c r="E585" s="13" t="s">
        <v>26</v>
      </c>
      <c r="F585" s="13" t="s">
        <v>18</v>
      </c>
      <c r="G585" s="13" t="str">
        <f t="shared" si="1"/>
        <v>ACCELERATED GROWTH</v>
      </c>
      <c r="H585" s="13" t="s">
        <v>510</v>
      </c>
      <c r="I585" s="16">
        <f>IFERROR(__xludf.DUMMYFUNCTION("ROUND(
  MAX(
    MIN(
      (
        (VALUE(INDEX(SPLIT(K585,""-""),1)) + VALUE(INDEX(SPLIT(K585,""-""),2))) / 2
      ) *
      IFS(
        L585&gt;0.4, 1.6,
        L585&gt;0.1, 1.3,
        L585&gt;=-0.05, 1,
        L585&gt;=-0.2, 0.85,
        TRUE, 0.7
     "&amp;" ),
      VALUE(INDEX(SPLIT(K585,""-""),2))
    ),
    VALUE(INDEX(SPLIT(K585,""-""),1))
  )
)"),163.0)</f>
        <v>163</v>
      </c>
      <c r="J585" s="17">
        <f>I585*(VLOOKUP(C585,'Rev_Mapping Table'!$A$1:$C$12,3,0))</f>
        <v>147515000</v>
      </c>
      <c r="K585" s="16" t="s">
        <v>32</v>
      </c>
      <c r="L585" s="18">
        <v>0.33</v>
      </c>
      <c r="M585" s="19" t="str">
        <f>VLOOKUP(B585,Master_Mapper!$A$2:$C$628,3,0)</f>
        <v>Frontier Growth</v>
      </c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</row>
    <row r="586">
      <c r="A586" s="21" t="b">
        <v>0</v>
      </c>
      <c r="B586" s="31" t="s">
        <v>915</v>
      </c>
      <c r="C586" s="21" t="str">
        <f>vlookup(B586,Vert_Mapper!$A$2:$C$625,2,0)</f>
        <v>Healthcare</v>
      </c>
      <c r="D586" s="21" t="str">
        <f>vlookup(B586,Vert_Mapper!$A$2:$C$625,3,0)</f>
        <v>Healthcare Technology &amp; Analytics</v>
      </c>
      <c r="E586" s="21" t="s">
        <v>26</v>
      </c>
      <c r="F586" s="21" t="s">
        <v>18</v>
      </c>
      <c r="G586" s="21" t="str">
        <f t="shared" si="1"/>
        <v>FLAT TO NEUTRAL</v>
      </c>
      <c r="H586" s="21" t="s">
        <v>117</v>
      </c>
      <c r="I586" s="24">
        <f>IFERROR(__xludf.DUMMYFUNCTION("ROUND(
  MAX(
    MIN(
      (
        (VALUE(INDEX(SPLIT(K586,""-""),1)) + VALUE(INDEX(SPLIT(K586,""-""),2))) / 2
      ) *
      IFS(
        L586&gt;0.4, 1.6,
        L586&gt;0.1, 1.3,
        L586&gt;=-0.05, 1,
        L586&gt;=-0.2, 0.85,
        TRUE, 0.7
     "&amp;" ),
      VALUE(INDEX(SPLIT(K586,""-""),2))
    ),
    VALUE(INDEX(SPLIT(K586,""-""),1))
  )
)"),126.0)</f>
        <v>126</v>
      </c>
      <c r="J586" s="25">
        <f>I586*(VLOOKUP(C586,'Rev_Mapping Table'!$A$1:$C$12,3,0))</f>
        <v>70056000</v>
      </c>
      <c r="K586" s="24" t="s">
        <v>32</v>
      </c>
      <c r="L586" s="26">
        <v>0.0</v>
      </c>
      <c r="M586" s="27" t="str">
        <f>VLOOKUP(B586,Master_Mapper!$A$2:$C$628,3,0)</f>
        <v>VentureSouth</v>
      </c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</row>
    <row r="587">
      <c r="A587" s="13" t="b">
        <v>0</v>
      </c>
      <c r="B587" s="14" t="s">
        <v>916</v>
      </c>
      <c r="C587" s="13" t="str">
        <f>vlookup(B587,Vert_Mapper!$A$2:$C$625,2,0)</f>
        <v>Consumer Discretionary</v>
      </c>
      <c r="D587" s="13" t="str">
        <f>vlookup(B587,Vert_Mapper!$A$2:$C$625,3,0)</f>
        <v>Travel &amp; Hospitality Services</v>
      </c>
      <c r="E587" s="13" t="s">
        <v>26</v>
      </c>
      <c r="F587" s="13" t="s">
        <v>18</v>
      </c>
      <c r="G587" s="13" t="str">
        <f t="shared" si="1"/>
        <v>ACCELERATED GROWTH</v>
      </c>
      <c r="H587" s="13" t="s">
        <v>24</v>
      </c>
      <c r="I587" s="16">
        <f>IFERROR(__xludf.DUMMYFUNCTION("ROUND(
  MAX(
    MIN(
      (
        (VALUE(INDEX(SPLIT(K587,""-""),1)) + VALUE(INDEX(SPLIT(K587,""-""),2))) / 2
      ) *
      IFS(
        L587&gt;0.4, 1.6,
        L587&gt;0.1, 1.3,
        L587&gt;=-0.05, 1,
        L587&gt;=-0.2, 0.85,
        TRUE, 0.7
     "&amp;" ),
      VALUE(INDEX(SPLIT(K587,""-""),2))
    ),
    VALUE(INDEX(SPLIT(K587,""-""),1))
  )
)"),163.0)</f>
        <v>163</v>
      </c>
      <c r="J587" s="17">
        <f>I587*(VLOOKUP(C587,'Rev_Mapping Table'!$A$1:$C$12,3,0))</f>
        <v>83456000</v>
      </c>
      <c r="K587" s="16" t="s">
        <v>32</v>
      </c>
      <c r="L587" s="18">
        <v>0.21</v>
      </c>
      <c r="M587" s="19" t="str">
        <f>VLOOKUP(B587,Master_Mapper!$A$2:$C$628,3,0)</f>
        <v>Vibora Capital</v>
      </c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</row>
    <row r="588">
      <c r="A588" s="21" t="b">
        <v>0</v>
      </c>
      <c r="B588" s="31" t="s">
        <v>917</v>
      </c>
      <c r="C588" s="21" t="str">
        <f>vlookup(B588,Vert_Mapper!$A$2:$C$625,2,0)</f>
        <v>Healthcare</v>
      </c>
      <c r="D588" s="21" t="str">
        <f>vlookup(B588,Vert_Mapper!$A$2:$C$625,3,0)</f>
        <v>Biotechnology &amp; Pharmaceuticals</v>
      </c>
      <c r="E588" s="21" t="s">
        <v>85</v>
      </c>
      <c r="F588" s="21" t="s">
        <v>86</v>
      </c>
      <c r="G588" s="21" t="str">
        <f t="shared" si="1"/>
        <v>HYPERGROWTH</v>
      </c>
      <c r="H588" s="21" t="s">
        <v>131</v>
      </c>
      <c r="I588" s="24" t="str">
        <f>IFERROR(__xludf.DUMMYFUNCTION("ROUND(
  MAX(
    MIN(
      (
        (VALUE(INDEX(SPLIT(K588,""-""),1)) + VALUE(INDEX(SPLIT(K588,""-""),2))) / 2
      ) *
      IFS(
        L588&gt;0.4, 1.6,
        L588&gt;0.1, 1.3,
        L588&gt;=-0.05, 1,
        L588&gt;=-0.2, 0.85,
        TRUE, 0.7
     "&amp;" ),
      VALUE(INDEX(SPLIT(K588,""-""),2))
    ),
    VALUE(INDEX(SPLIT(K588,""-""),1))
  )
)"),"#VALUE!")</f>
        <v>#VALUE!</v>
      </c>
      <c r="J588" s="25" t="str">
        <f>I588*(VLOOKUP(C588,'Rev_Mapping Table'!$A$1:$C$12,3,0))</f>
        <v>#VALUE!</v>
      </c>
      <c r="K588" s="35" t="s">
        <v>131</v>
      </c>
      <c r="L588" s="35" t="s">
        <v>131</v>
      </c>
      <c r="M588" s="27" t="str">
        <f>VLOOKUP(B588,Master_Mapper!$A$2:$C$628,3,0)</f>
        <v>Harbor Island Equity Partners</v>
      </c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</row>
    <row r="589">
      <c r="A589" s="13" t="b">
        <v>0</v>
      </c>
      <c r="B589" s="14" t="s">
        <v>918</v>
      </c>
      <c r="C589" s="13" t="str">
        <f>vlookup(B589,Vert_Mapper!$A$2:$C$625,2,0)</f>
        <v>Consumer Discretionary</v>
      </c>
      <c r="D589" s="13" t="str">
        <f>vlookup(B589,Vert_Mapper!$A$2:$C$625,3,0)</f>
        <v>Restaurants &amp; Food Services</v>
      </c>
      <c r="E589" s="13" t="s">
        <v>175</v>
      </c>
      <c r="F589" s="13" t="s">
        <v>34</v>
      </c>
      <c r="G589" s="13" t="str">
        <f t="shared" si="1"/>
        <v>DECLINING</v>
      </c>
      <c r="H589" s="13" t="s">
        <v>224</v>
      </c>
      <c r="I589" s="16">
        <f>IFERROR(__xludf.DUMMYFUNCTION("ROUND(
  MAX(
    MIN(
      (
        (VALUE(INDEX(SPLIT(K589,""-""),1)) + VALUE(INDEX(SPLIT(K589,""-""),2))) / 2
      ) *
      IFS(
        L589&gt;0.4, 1.6,
        L589&gt;0.1, 1.3,
        L589&gt;=-0.05, 1,
        L589&gt;=-0.2, 0.85,
        TRUE, 0.7
     "&amp;" ),
      VALUE(INDEX(SPLIT(K589,""-""),2))
    ),
    VALUE(INDEX(SPLIT(K589,""-""),1))
  )
)"),298.0)</f>
        <v>298</v>
      </c>
      <c r="J589" s="17">
        <f>I589*(VLOOKUP(C589,'Rev_Mapping Table'!$A$1:$C$12,3,0))</f>
        <v>152576000</v>
      </c>
      <c r="K589" s="16" t="s">
        <v>20</v>
      </c>
      <c r="L589" s="18">
        <v>-0.11</v>
      </c>
      <c r="M589" s="19" t="str">
        <f>VLOOKUP(B589,Master_Mapper!$A$2:$C$628,3,0)</f>
        <v>Hargett Hunter</v>
      </c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</row>
    <row r="590">
      <c r="A590" s="21" t="b">
        <v>0</v>
      </c>
      <c r="B590" s="31" t="s">
        <v>919</v>
      </c>
      <c r="C590" s="21" t="str">
        <f>vlookup(B590,Vert_Mapper!$A$2:$C$625,2,0)</f>
        <v>Consumer Discretionary</v>
      </c>
      <c r="D590" s="21" t="str">
        <f>vlookup(B590,Vert_Mapper!$A$2:$C$625,3,0)</f>
        <v>Business Services</v>
      </c>
      <c r="E590" s="21" t="s">
        <v>26</v>
      </c>
      <c r="F590" s="21" t="s">
        <v>18</v>
      </c>
      <c r="G590" s="21" t="str">
        <f t="shared" si="1"/>
        <v>GROWTH PHASE</v>
      </c>
      <c r="H590" s="21" t="s">
        <v>100</v>
      </c>
      <c r="I590" s="24">
        <f>IFERROR(__xludf.DUMMYFUNCTION("ROUND(
  MAX(
    MIN(
      (
        (VALUE(INDEX(SPLIT(K590,""-""),1)) + VALUE(INDEX(SPLIT(K590,""-""),2))) / 2
      ) *
      IFS(
        L590&gt;0.4, 1.6,
        L590&gt;0.1, 1.3,
        L590&gt;=-0.05, 1,
        L590&gt;=-0.2, 0.85,
        TRUE, 0.7
     "&amp;" ),
      VALUE(INDEX(SPLIT(K590,""-""),2))
    ),
    VALUE(INDEX(SPLIT(K590,""-""),1))
  )
)"),351.0)</f>
        <v>351</v>
      </c>
      <c r="J590" s="25">
        <f>I590*(VLOOKUP(C590,'Rev_Mapping Table'!$A$1:$C$12,3,0))</f>
        <v>179712000</v>
      </c>
      <c r="K590" s="24" t="s">
        <v>20</v>
      </c>
      <c r="L590" s="26">
        <v>0.04</v>
      </c>
      <c r="M590" s="27" t="str">
        <f>VLOOKUP(B590,Master_Mapper!$A$2:$C$628,3,0)</f>
        <v>Pamlico Capital</v>
      </c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</row>
    <row r="591">
      <c r="A591" s="13" t="b">
        <v>0</v>
      </c>
      <c r="B591" s="14" t="s">
        <v>920</v>
      </c>
      <c r="C591" s="13" t="str">
        <f>vlookup(B591,Vert_Mapper!$A$2:$C$625,2,0)</f>
        <v>Information Technology</v>
      </c>
      <c r="D591" s="13" t="str">
        <f>vlookup(B591,Vert_Mapper!$A$2:$C$625,3,0)</f>
        <v>Software &amp; SaaS</v>
      </c>
      <c r="E591" s="13" t="s">
        <v>26</v>
      </c>
      <c r="F591" s="13" t="s">
        <v>18</v>
      </c>
      <c r="G591" s="13" t="str">
        <f t="shared" si="1"/>
        <v>ACCELERATED GROWTH</v>
      </c>
      <c r="H591" s="13" t="s">
        <v>921</v>
      </c>
      <c r="I591" s="16">
        <f>IFERROR(__xludf.DUMMYFUNCTION("ROUND(
  MAX(
    MIN(
      (
        (VALUE(INDEX(SPLIT(K591,""-""),1)) + VALUE(INDEX(SPLIT(K591,""-""),2))) / 2
      ) *
      IFS(
        L591&gt;0.4, 1.6,
        L591&gt;0.1, 1.3,
        L591&gt;=-0.05, 1,
        L591&gt;=-0.2, 0.85,
        TRUE, 0.7
     "&amp;" ),
      VALUE(INDEX(SPLIT(K591,""-""),2))
    ),
    VALUE(INDEX(SPLIT(K591,""-""),1))
  )
)"),163.0)</f>
        <v>163</v>
      </c>
      <c r="J591" s="17">
        <f>I591*(VLOOKUP(C591,'Rev_Mapping Table'!$A$1:$C$12,3,0))</f>
        <v>91932000</v>
      </c>
      <c r="K591" s="16" t="s">
        <v>32</v>
      </c>
      <c r="L591" s="18">
        <v>0.25</v>
      </c>
      <c r="M591" s="19" t="str">
        <f>VLOOKUP(B591,Master_Mapper!$A$2:$C$628,3,0)</f>
        <v>Falfurrias Capital Partners</v>
      </c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</row>
    <row r="592">
      <c r="A592" s="21" t="b">
        <v>0</v>
      </c>
      <c r="B592" s="31" t="s">
        <v>922</v>
      </c>
      <c r="C592" s="21" t="str">
        <f>vlookup(B592,Vert_Mapper!$A$2:$C$625,2,0)</f>
        <v>Information Technology</v>
      </c>
      <c r="D592" s="21" t="str">
        <f>vlookup(B592,Vert_Mapper!$A$2:$C$625,3,0)</f>
        <v>Software &amp; SaaS</v>
      </c>
      <c r="E592" s="21" t="s">
        <v>26</v>
      </c>
      <c r="F592" s="21" t="s">
        <v>18</v>
      </c>
      <c r="G592" s="21" t="str">
        <f t="shared" si="1"/>
        <v>FLAT TO NEUTRAL</v>
      </c>
      <c r="H592" s="21" t="s">
        <v>100</v>
      </c>
      <c r="I592" s="24">
        <f>IFERROR(__xludf.DUMMYFUNCTION("ROUND(
  MAX(
    MIN(
      (
        (VALUE(INDEX(SPLIT(K592,""-""),1)) + VALUE(INDEX(SPLIT(K592,""-""),2))) / 2
      ) *
      IFS(
        L592&gt;0.4, 1.6,
        L592&gt;0.1, 1.3,
        L592&gt;=-0.05, 1,
        L592&gt;=-0.2, 0.85,
        TRUE, 0.7
     "&amp;" ),
      VALUE(INDEX(SPLIT(K592,""-""),2))
    ),
    VALUE(INDEX(SPLIT(K592,""-""),1))
  )
)"),31.0)</f>
        <v>31</v>
      </c>
      <c r="J592" s="25">
        <f>I592*(VLOOKUP(C592,'Rev_Mapping Table'!$A$1:$C$12,3,0))</f>
        <v>17484000</v>
      </c>
      <c r="K592" s="24" t="s">
        <v>25</v>
      </c>
      <c r="L592" s="26">
        <v>0.0</v>
      </c>
      <c r="M592" s="27" t="str">
        <f>VLOOKUP(B592,Master_Mapper!$A$2:$C$628,3,0)</f>
        <v>VentureSouth</v>
      </c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</row>
    <row r="593">
      <c r="A593" s="13" t="b">
        <v>0</v>
      </c>
      <c r="B593" s="14" t="s">
        <v>923</v>
      </c>
      <c r="C593" s="13" t="str">
        <f>vlookup(B593,Vert_Mapper!$A$2:$C$625,2,0)</f>
        <v>Information Technology</v>
      </c>
      <c r="D593" s="13" t="str">
        <f>vlookup(B593,Vert_Mapper!$A$2:$C$625,3,0)</f>
        <v>Software &amp; SaaS</v>
      </c>
      <c r="E593" s="13" t="s">
        <v>26</v>
      </c>
      <c r="F593" s="13" t="s">
        <v>18</v>
      </c>
      <c r="G593" s="13" t="str">
        <f t="shared" si="1"/>
        <v>DECLINING</v>
      </c>
      <c r="H593" s="13" t="s">
        <v>924</v>
      </c>
      <c r="I593" s="16">
        <f>IFERROR(__xludf.DUMMYFUNCTION("ROUND(
  MAX(
    MIN(
      (
        (VALUE(INDEX(SPLIT(K593,""-""),1)) + VALUE(INDEX(SPLIT(K593,""-""),2))) / 2
      ) *
      IFS(
        L593&gt;0.4, 1.6,
        L593&gt;0.1, 1.3,
        L593&gt;=-0.05, 1,
        L593&gt;=-0.2, 0.85,
        TRUE, 0.7
     "&amp;" ),
      VALUE(INDEX(SPLIT(K593,""-""),2))
    ),
    VALUE(INDEX(SPLIT(K593,""-""),1))
  )
)"),351.0)</f>
        <v>351</v>
      </c>
      <c r="J593" s="17">
        <f>I593*(VLOOKUP(C593,'Rev_Mapping Table'!$A$1:$C$12,3,0))</f>
        <v>197964000</v>
      </c>
      <c r="K593" s="16" t="s">
        <v>20</v>
      </c>
      <c r="L593" s="18">
        <v>-0.05</v>
      </c>
      <c r="M593" s="19" t="str">
        <f>VLOOKUP(B593,Master_Mapper!$A$2:$C$628,3,0)</f>
        <v>Halifax Group</v>
      </c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</row>
    <row r="594">
      <c r="A594" s="21" t="b">
        <v>0</v>
      </c>
      <c r="B594" s="31" t="s">
        <v>925</v>
      </c>
      <c r="C594" s="21" t="str">
        <f>vlookup(B594,Vert_Mapper!$A$2:$C$625,2,0)</f>
        <v>Financials</v>
      </c>
      <c r="D594" s="21" t="str">
        <f>vlookup(B594,Vert_Mapper!$A$2:$C$625,3,0)</f>
        <v>Financial Technology &amp; Investment Services</v>
      </c>
      <c r="E594" s="21" t="s">
        <v>26</v>
      </c>
      <c r="F594" s="21" t="s">
        <v>18</v>
      </c>
      <c r="G594" s="21" t="str">
        <f t="shared" si="1"/>
        <v>GROWTH PHASE</v>
      </c>
      <c r="H594" s="21" t="s">
        <v>926</v>
      </c>
      <c r="I594" s="24">
        <f>IFERROR(__xludf.DUMMYFUNCTION("ROUND(
  MAX(
    MIN(
      (
        (VALUE(INDEX(SPLIT(K594,""-""),1)) + VALUE(INDEX(SPLIT(K594,""-""),2))) / 2
      ) *
      IFS(
        L594&gt;0.4, 1.6,
        L594&gt;0.1, 1.3,
        L594&gt;=-0.05, 1,
        L594&gt;=-0.2, 0.85,
        TRUE, 0.7
     "&amp;" ),
      VALUE(INDEX(SPLIT(K594,""-""),2))
    ),
    VALUE(INDEX(SPLIT(K594,""-""),1))
  )
)"),751.0)</f>
        <v>751</v>
      </c>
      <c r="J594" s="25">
        <f>I594*(VLOOKUP(C594,'Rev_Mapping Table'!$A$1:$C$12,3,0))</f>
        <v>679655000</v>
      </c>
      <c r="K594" s="24" t="s">
        <v>54</v>
      </c>
      <c r="L594" s="26">
        <v>0.07</v>
      </c>
      <c r="M594" s="27" t="str">
        <f>VLOOKUP(B594,Master_Mapper!$A$2:$C$628,3,0)</f>
        <v>Pamlico Capital</v>
      </c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</row>
    <row r="595">
      <c r="A595" s="13" t="b">
        <v>0</v>
      </c>
      <c r="B595" s="14" t="s">
        <v>927</v>
      </c>
      <c r="C595" s="13" t="str">
        <f>vlookup(B595,Vert_Mapper!$A$2:$C$625,2,0)</f>
        <v>Healthcare</v>
      </c>
      <c r="D595" s="13" t="str">
        <f>vlookup(B595,Vert_Mapper!$A$2:$C$625,3,0)</f>
        <v>Biotechnology &amp; Pharmaceuticals</v>
      </c>
      <c r="E595" s="13" t="s">
        <v>85</v>
      </c>
      <c r="F595" s="13" t="s">
        <v>86</v>
      </c>
      <c r="G595" s="13" t="str">
        <f t="shared" si="1"/>
        <v>HYPERGROWTH</v>
      </c>
      <c r="H595" s="13" t="s">
        <v>131</v>
      </c>
      <c r="I595" s="16" t="str">
        <f>IFERROR(__xludf.DUMMYFUNCTION("ROUND(
  MAX(
    MIN(
      (
        (VALUE(INDEX(SPLIT(K595,""-""),1)) + VALUE(INDEX(SPLIT(K595,""-""),2))) / 2
      ) *
      IFS(
        L595&gt;0.4, 1.6,
        L595&gt;0.1, 1.3,
        L595&gt;=-0.05, 1,
        L595&gt;=-0.2, 0.85,
        TRUE, 0.7
     "&amp;" ),
      VALUE(INDEX(SPLIT(K595,""-""),2))
    ),
    VALUE(INDEX(SPLIT(K595,""-""),1))
  )
)"),"#VALUE!")</f>
        <v>#VALUE!</v>
      </c>
      <c r="J595" s="17" t="str">
        <f>I595*(VLOOKUP(C595,'Rev_Mapping Table'!$A$1:$C$12,3,0))</f>
        <v>#VALUE!</v>
      </c>
      <c r="K595" s="33" t="s">
        <v>131</v>
      </c>
      <c r="L595" s="33" t="s">
        <v>131</v>
      </c>
      <c r="M595" s="19" t="str">
        <f>VLOOKUP(B595,Master_Mapper!$A$2:$C$628,3,0)</f>
        <v>VentureSouth</v>
      </c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</row>
    <row r="596">
      <c r="A596" s="21" t="b">
        <v>0</v>
      </c>
      <c r="B596" s="31" t="s">
        <v>928</v>
      </c>
      <c r="C596" s="21" t="str">
        <f>vlookup(B596,Vert_Mapper!$A$2:$C$625,2,0)</f>
        <v>Financials</v>
      </c>
      <c r="D596" s="21" t="str">
        <f>vlookup(B596,Vert_Mapper!$A$2:$C$625,3,0)</f>
        <v>Insurance &amp; InsurTech</v>
      </c>
      <c r="E596" s="21" t="s">
        <v>26</v>
      </c>
      <c r="F596" s="21" t="s">
        <v>18</v>
      </c>
      <c r="G596" s="21" t="str">
        <f t="shared" si="1"/>
        <v>GROWTH PHASE</v>
      </c>
      <c r="H596" s="21" t="s">
        <v>929</v>
      </c>
      <c r="I596" s="24">
        <f>IFERROR(__xludf.DUMMYFUNCTION("ROUND(
  MAX(
    MIN(
      (
        (VALUE(INDEX(SPLIT(K596,""-""),1)) + VALUE(INDEX(SPLIT(K596,""-""),2))) / 2
      ) *
      IFS(
        L596&gt;0.4, 1.6,
        L596&gt;0.1, 1.3,
        L596&gt;=-0.05, 1,
        L596&gt;=-0.2, 0.85,
        TRUE, 0.7
     "&amp;" ),
      VALUE(INDEX(SPLIT(K596,""-""),2))
    ),
    VALUE(INDEX(SPLIT(K596,""-""),1))
  )
)"),3901.0)</f>
        <v>3901</v>
      </c>
      <c r="J596" s="25">
        <f>I596*(VLOOKUP(C596,'Rev_Mapping Table'!$A$1:$C$12,3,0))</f>
        <v>3530405000</v>
      </c>
      <c r="K596" s="24" t="s">
        <v>96</v>
      </c>
      <c r="L596" s="26">
        <v>0.12</v>
      </c>
      <c r="M596" s="27" t="str">
        <f>VLOOKUP(B596,Master_Mapper!$A$2:$C$628,3,0)</f>
        <v>VentureSouth</v>
      </c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</row>
    <row r="597">
      <c r="A597" s="13" t="b">
        <v>0</v>
      </c>
      <c r="B597" s="14" t="s">
        <v>930</v>
      </c>
      <c r="C597" s="13" t="str">
        <f>vlookup(B597,Vert_Mapper!$A$2:$C$625,2,0)</f>
        <v>Healthcare</v>
      </c>
      <c r="D597" s="13" t="str">
        <f>vlookup(B597,Vert_Mapper!$A$2:$C$625,3,0)</f>
        <v>Healthcare Technology &amp; Analytics</v>
      </c>
      <c r="E597" s="13" t="s">
        <v>26</v>
      </c>
      <c r="F597" s="13" t="s">
        <v>18</v>
      </c>
      <c r="G597" s="13" t="str">
        <f t="shared" si="1"/>
        <v>GROWTH PHASE</v>
      </c>
      <c r="H597" s="13" t="s">
        <v>83</v>
      </c>
      <c r="I597" s="16">
        <f>IFERROR(__xludf.DUMMYFUNCTION("ROUND(
  MAX(
    MIN(
      (
        (VALUE(INDEX(SPLIT(K597,""-""),1)) + VALUE(INDEX(SPLIT(K597,""-""),2))) / 2
      ) *
      IFS(
        L597&gt;0.4, 1.6,
        L597&gt;0.1, 1.3,
        L597&gt;=-0.05, 1,
        L597&gt;=-0.2, 0.85,
        TRUE, 0.7
     "&amp;" ),
      VALUE(INDEX(SPLIT(K597,""-""),2))
    ),
    VALUE(INDEX(SPLIT(K597,""-""),1))
  )
)"),976.0)</f>
        <v>976</v>
      </c>
      <c r="J597" s="17">
        <f>I597*(VLOOKUP(C597,'Rev_Mapping Table'!$A$1:$C$12,3,0))</f>
        <v>542656000</v>
      </c>
      <c r="K597" s="16" t="s">
        <v>54</v>
      </c>
      <c r="L597" s="18">
        <v>0.12</v>
      </c>
      <c r="M597" s="19" t="str">
        <f>VLOOKUP(B597,Master_Mapper!$A$2:$C$628,3,0)</f>
        <v>Vibora Capital</v>
      </c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</row>
    <row r="598">
      <c r="A598" s="21" t="b">
        <v>0</v>
      </c>
      <c r="B598" s="31" t="s">
        <v>931</v>
      </c>
      <c r="C598" s="21" t="str">
        <f>vlookup(B598,Vert_Mapper!$A$2:$C$625,2,0)</f>
        <v>Healthcare</v>
      </c>
      <c r="D598" s="21" t="str">
        <f>vlookup(B598,Vert_Mapper!$A$2:$C$625,3,0)</f>
        <v>Biotechnology &amp; Pharmaceuticals</v>
      </c>
      <c r="E598" s="21" t="s">
        <v>85</v>
      </c>
      <c r="F598" s="21" t="s">
        <v>86</v>
      </c>
      <c r="G598" s="21" t="str">
        <f t="shared" si="1"/>
        <v>HYPERGROWTH</v>
      </c>
      <c r="H598" s="21" t="s">
        <v>131</v>
      </c>
      <c r="I598" s="24" t="str">
        <f>IFERROR(__xludf.DUMMYFUNCTION("ROUND(
  MAX(
    MIN(
      (
        (VALUE(INDEX(SPLIT(K598,""-""),1)) + VALUE(INDEX(SPLIT(K598,""-""),2))) / 2
      ) *
      IFS(
        L598&gt;0.4, 1.6,
        L598&gt;0.1, 1.3,
        L598&gt;=-0.05, 1,
        L598&gt;=-0.2, 0.85,
        TRUE, 0.7
     "&amp;" ),
      VALUE(INDEX(SPLIT(K598,""-""),2))
    ),
    VALUE(INDEX(SPLIT(K598,""-""),1))
  )
)"),"#VALUE!")</f>
        <v>#VALUE!</v>
      </c>
      <c r="J598" s="25" t="str">
        <f>I598*(VLOOKUP(C598,'Rev_Mapping Table'!$A$1:$C$12,3,0))</f>
        <v>#VALUE!</v>
      </c>
      <c r="K598" s="35" t="s">
        <v>131</v>
      </c>
      <c r="L598" s="35" t="s">
        <v>131</v>
      </c>
      <c r="M598" s="27" t="str">
        <f>VLOOKUP(B598,Master_Mapper!$A$2:$C$628,3,0)</f>
        <v>VentureSouth</v>
      </c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</row>
    <row r="599">
      <c r="A599" s="13" t="b">
        <v>0</v>
      </c>
      <c r="B599" s="14" t="s">
        <v>932</v>
      </c>
      <c r="C599" s="13" t="str">
        <f>vlookup(B599,Vert_Mapper!$A$2:$C$625,2,0)</f>
        <v>Information Technology</v>
      </c>
      <c r="D599" s="13" t="str">
        <f>vlookup(B599,Vert_Mapper!$A$2:$C$625,3,0)</f>
        <v>IT Services &amp; Consulting</v>
      </c>
      <c r="E599" s="13" t="s">
        <v>26</v>
      </c>
      <c r="F599" s="13" t="s">
        <v>18</v>
      </c>
      <c r="G599" s="13" t="str">
        <f t="shared" si="1"/>
        <v>ACCELERATED GROWTH</v>
      </c>
      <c r="H599" s="13" t="s">
        <v>933</v>
      </c>
      <c r="I599" s="16">
        <f>IFERROR(__xludf.DUMMYFUNCTION("ROUND(
  MAX(
    MIN(
      (
        (VALUE(INDEX(SPLIT(K599,""-""),1)) + VALUE(INDEX(SPLIT(K599,""-""),2))) / 2
      ) *
      IFS(
        L599&gt;0.4, 1.6,
        L599&gt;0.1, 1.3,
        L599&gt;=-0.05, 1,
        L599&gt;=-0.2, 0.85,
        TRUE, 0.7
     "&amp;" ),
      VALUE(INDEX(SPLIT(K599,""-""),2))
    ),
    VALUE(INDEX(SPLIT(K599,""-""),1))
  )
)"),456.0)</f>
        <v>456</v>
      </c>
      <c r="J599" s="17">
        <f>I599*(VLOOKUP(C599,'Rev_Mapping Table'!$A$1:$C$12,3,0))</f>
        <v>257184000</v>
      </c>
      <c r="K599" s="16" t="s">
        <v>20</v>
      </c>
      <c r="L599" s="18">
        <v>0.25</v>
      </c>
      <c r="M599" s="19" t="str">
        <f>VLOOKUP(B599,Master_Mapper!$A$2:$C$628,3,0)</f>
        <v>Falfurrias Capital Partners</v>
      </c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</row>
    <row r="600">
      <c r="A600" s="21" t="b">
        <v>0</v>
      </c>
      <c r="B600" s="31" t="s">
        <v>934</v>
      </c>
      <c r="C600" s="21" t="str">
        <f>vlookup(B600,Vert_Mapper!$A$2:$C$625,2,0)</f>
        <v>Information Technology</v>
      </c>
      <c r="D600" s="21" t="str">
        <f>vlookup(B600,Vert_Mapper!$A$2:$C$625,3,0)</f>
        <v>Software &amp; SaaS</v>
      </c>
      <c r="E600" s="21" t="s">
        <v>26</v>
      </c>
      <c r="F600" s="21" t="s">
        <v>18</v>
      </c>
      <c r="G600" s="21" t="str">
        <f t="shared" si="1"/>
        <v>ACCELERATED GROWTH</v>
      </c>
      <c r="H600" s="21" t="s">
        <v>134</v>
      </c>
      <c r="I600" s="24">
        <f>IFERROR(__xludf.DUMMYFUNCTION("ROUND(
  MAX(
    MIN(
      (
        (VALUE(INDEX(SPLIT(K600,""-""),1)) + VALUE(INDEX(SPLIT(K600,""-""),2))) / 2
      ) *
      IFS(
        L600&gt;0.4, 1.6,
        L600&gt;0.1, 1.3,
        L600&gt;=-0.05, 1,
        L600&gt;=-0.2, 0.85,
        TRUE, 0.7
     "&amp;" ),
      VALUE(INDEX(SPLIT(K600,""-""),2))
    ),
    VALUE(INDEX(SPLIT(K600,""-""),1))
  )
)"),163.0)</f>
        <v>163</v>
      </c>
      <c r="J600" s="25">
        <f>I600*(VLOOKUP(C600,'Rev_Mapping Table'!$A$1:$C$12,3,0))</f>
        <v>91932000</v>
      </c>
      <c r="K600" s="24" t="s">
        <v>32</v>
      </c>
      <c r="L600" s="26">
        <v>0.22</v>
      </c>
      <c r="M600" s="27" t="str">
        <f>VLOOKUP(B600,Master_Mapper!$A$2:$C$628,3,0)</f>
        <v>Frontier Growth</v>
      </c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</row>
    <row r="601">
      <c r="A601" s="13" t="b">
        <v>1</v>
      </c>
      <c r="B601" s="14" t="s">
        <v>935</v>
      </c>
      <c r="C601" s="13" t="str">
        <f>vlookup(B601,Vert_Mapper!$A$2:$C$625,2,0)</f>
        <v>Financials</v>
      </c>
      <c r="D601" s="13" t="str">
        <f>vlookup(B601,Vert_Mapper!$A$2:$C$625,3,0)</f>
        <v>Insurance &amp; InsurTech</v>
      </c>
      <c r="E601" s="13" t="s">
        <v>26</v>
      </c>
      <c r="F601" s="13" t="s">
        <v>18</v>
      </c>
      <c r="G601" s="13" t="str">
        <f t="shared" si="1"/>
        <v>DECLINING</v>
      </c>
      <c r="H601" s="13" t="s">
        <v>936</v>
      </c>
      <c r="I601" s="16">
        <f>IFERROR(__xludf.DUMMYFUNCTION("ROUND(
  MAX(
    MIN(
      (
        (VALUE(INDEX(SPLIT(K601,""-""),1)) + VALUE(INDEX(SPLIT(K601,""-""),2))) / 2
      ) *
      IFS(
        L601&gt;0.4, 1.6,
        L601&gt;0.1, 1.3,
        L601&gt;=-0.05, 1,
        L601&gt;=-0.2, 0.85,
        TRUE, 0.7
     "&amp;" ),
      VALUE(INDEX(SPLIT(K601,""-""),2))
    ),
    VALUE(INDEX(SPLIT(K601,""-""),1))
  )
)"),107.0)</f>
        <v>107</v>
      </c>
      <c r="J601" s="17">
        <f>I601*(VLOOKUP(C601,'Rev_Mapping Table'!$A$1:$C$12,3,0))</f>
        <v>96835000</v>
      </c>
      <c r="K601" s="16" t="s">
        <v>32</v>
      </c>
      <c r="L601" s="18">
        <v>-0.2</v>
      </c>
      <c r="M601" s="19" t="str">
        <f>VLOOKUP(B601,Master_Mapper!$A$2:$C$628,3,0)</f>
        <v>Carousel Capital</v>
      </c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</row>
    <row r="602">
      <c r="A602" s="21" t="b">
        <v>0</v>
      </c>
      <c r="B602" s="31" t="s">
        <v>937</v>
      </c>
      <c r="C602" s="21" t="str">
        <f>vlookup(B602,Vert_Mapper!$A$2:$C$625,2,0)</f>
        <v>Financials</v>
      </c>
      <c r="D602" s="21" t="str">
        <f>vlookup(B602,Vert_Mapper!$A$2:$C$625,3,0)</f>
        <v>Financial Technology &amp; Investment Services</v>
      </c>
      <c r="E602" s="21" t="s">
        <v>26</v>
      </c>
      <c r="F602" s="21" t="s">
        <v>18</v>
      </c>
      <c r="G602" s="21" t="str">
        <f t="shared" si="1"/>
        <v>GROWTH PHASE</v>
      </c>
      <c r="H602" s="21" t="s">
        <v>770</v>
      </c>
      <c r="I602" s="24">
        <f>IFERROR(__xludf.DUMMYFUNCTION("ROUND(
  MAX(
    MIN(
      (
        (VALUE(INDEX(SPLIT(K602,""-""),1)) + VALUE(INDEX(SPLIT(K602,""-""),2))) / 2
      ) *
      IFS(
        L602&gt;0.4, 1.6,
        L602&gt;0.1, 1.3,
        L602&gt;=-0.05, 1,
        L602&gt;=-0.2, 0.85,
        TRUE, 0.7
     "&amp;" ),
      VALUE(INDEX(SPLIT(K602,""-""),2))
    ),
    VALUE(INDEX(SPLIT(K602,""-""),1))
  )
)"),163.0)</f>
        <v>163</v>
      </c>
      <c r="J602" s="25">
        <f>I602*(VLOOKUP(C602,'Rev_Mapping Table'!$A$1:$C$12,3,0))</f>
        <v>147515000</v>
      </c>
      <c r="K602" s="24" t="s">
        <v>32</v>
      </c>
      <c r="L602" s="26">
        <v>0.18</v>
      </c>
      <c r="M602" s="27" t="str">
        <f>VLOOKUP(B602,Master_Mapper!$A$2:$C$628,3,0)</f>
        <v>Falfurrias Capital Partners</v>
      </c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</row>
    <row r="603">
      <c r="A603" s="13" t="b">
        <v>0</v>
      </c>
      <c r="B603" s="14" t="s">
        <v>938</v>
      </c>
      <c r="C603" s="13" t="str">
        <f>vlookup(B603,Vert_Mapper!$A$2:$C$625,2,0)</f>
        <v>Healthcare</v>
      </c>
      <c r="D603" s="13" t="str">
        <f>vlookup(B603,Vert_Mapper!$A$2:$C$625,3,0)</f>
        <v>Biotechnology &amp; Pharmaceuticals</v>
      </c>
      <c r="E603" s="13" t="s">
        <v>26</v>
      </c>
      <c r="F603" s="13" t="s">
        <v>18</v>
      </c>
      <c r="G603" s="13" t="str">
        <f t="shared" si="1"/>
        <v>ACCELERATED GROWTH</v>
      </c>
      <c r="H603" s="13" t="s">
        <v>51</v>
      </c>
      <c r="I603" s="16">
        <f>IFERROR(__xludf.DUMMYFUNCTION("ROUND(
  MAX(
    MIN(
      (
        (VALUE(INDEX(SPLIT(K603,""-""),1)) + VALUE(INDEX(SPLIT(K603,""-""),2))) / 2
      ) *
      IFS(
        L603&gt;0.4, 1.6,
        L603&gt;0.1, 1.3,
        L603&gt;=-0.05, 1,
        L603&gt;=-0.2, 0.85,
        TRUE, 0.7
     "&amp;" ),
      VALUE(INDEX(SPLIT(K603,""-""),2))
    ),
    VALUE(INDEX(SPLIT(K603,""-""),1))
  )
)"),8.0)</f>
        <v>8</v>
      </c>
      <c r="J603" s="17">
        <f>I603*(VLOOKUP(C603,'Rev_Mapping Table'!$A$1:$C$12,3,0))</f>
        <v>4448000</v>
      </c>
      <c r="K603" s="30">
        <v>45698.0</v>
      </c>
      <c r="L603" s="18">
        <v>0.36</v>
      </c>
      <c r="M603" s="19" t="str">
        <f>VLOOKUP(B603,Master_Mapper!$A$2:$C$628,3,0)</f>
        <v>Bloomfield Partners</v>
      </c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</row>
    <row r="604">
      <c r="A604" s="21" t="b">
        <v>0</v>
      </c>
      <c r="B604" s="31" t="s">
        <v>939</v>
      </c>
      <c r="C604" s="21" t="str">
        <f>vlookup(B604,Vert_Mapper!$A$2:$C$625,2,0)</f>
        <v>Consumer Discretionary</v>
      </c>
      <c r="D604" s="21" t="str">
        <f>vlookup(B604,Vert_Mapper!$A$2:$C$625,3,0)</f>
        <v>Consumer Products</v>
      </c>
      <c r="E604" s="21" t="s">
        <v>26</v>
      </c>
      <c r="F604" s="21" t="s">
        <v>18</v>
      </c>
      <c r="G604" s="21" t="str">
        <f t="shared" si="1"/>
        <v>GROWTH PHASE</v>
      </c>
      <c r="H604" s="21" t="s">
        <v>169</v>
      </c>
      <c r="I604" s="24">
        <f>IFERROR(__xludf.DUMMYFUNCTION("ROUND(
  MAX(
    MIN(
      (
        (VALUE(INDEX(SPLIT(K604,""-""),1)) + VALUE(INDEX(SPLIT(K604,""-""),2))) / 2
      ) *
      IFS(
        L604&gt;0.4, 1.6,
        L604&gt;0.1, 1.3,
        L604&gt;=-0.05, 1,
        L604&gt;=-0.2, 0.85,
        TRUE, 0.7
     "&amp;" ),
      VALUE(INDEX(SPLIT(K604,""-""),2))
    ),
    VALUE(INDEX(SPLIT(K604,""-""),1))
  )
)"),31.0)</f>
        <v>31</v>
      </c>
      <c r="J604" s="25">
        <f>I604*(VLOOKUP(C604,'Rev_Mapping Table'!$A$1:$C$12,3,0))</f>
        <v>15872000</v>
      </c>
      <c r="K604" s="24" t="s">
        <v>25</v>
      </c>
      <c r="L604" s="26">
        <v>0.05</v>
      </c>
      <c r="M604" s="27" t="str">
        <f>VLOOKUP(B604,Master_Mapper!$A$2:$C$628,3,0)</f>
        <v>Pamlico Capital</v>
      </c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</row>
    <row r="605">
      <c r="A605" s="13" t="b">
        <v>0</v>
      </c>
      <c r="B605" s="14" t="s">
        <v>940</v>
      </c>
      <c r="C605" s="13" t="str">
        <f>vlookup(B605,Vert_Mapper!$A$2:$C$625,2,0)</f>
        <v>Healthcare</v>
      </c>
      <c r="D605" s="13" t="str">
        <f>vlookup(B605,Vert_Mapper!$A$2:$C$625,3,0)</f>
        <v>Biotechnology &amp; Pharmaceuticals</v>
      </c>
      <c r="E605" s="13" t="s">
        <v>85</v>
      </c>
      <c r="F605" s="13" t="s">
        <v>86</v>
      </c>
      <c r="G605" s="13" t="str">
        <f t="shared" si="1"/>
        <v>SEVERELY NEGATIVE</v>
      </c>
      <c r="H605" s="13" t="s">
        <v>286</v>
      </c>
      <c r="I605" s="16">
        <f>IFERROR(__xludf.DUMMYFUNCTION("ROUND(
  MAX(
    MIN(
      (
        (VALUE(INDEX(SPLIT(K605,""-""),1)) + VALUE(INDEX(SPLIT(K605,""-""),2))) / 2
      ) *
      IFS(
        L605&gt;0.4, 1.6,
        L605&gt;0.1, 1.3,
        L605&gt;=-0.05, 1,
        L605&gt;=-0.2, 0.85,
        TRUE, 0.7
     "&amp;" ),
      VALUE(INDEX(SPLIT(K605,""-""),2))
    ),
    VALUE(INDEX(SPLIT(K605,""-""),1))
  )
)"),4.0)</f>
        <v>4</v>
      </c>
      <c r="J605" s="17">
        <f>I605*(VLOOKUP(C605,'Rev_Mapping Table'!$A$1:$C$12,3,0))</f>
        <v>2224000</v>
      </c>
      <c r="K605" s="30">
        <v>45698.0</v>
      </c>
      <c r="L605" s="18">
        <v>-0.5</v>
      </c>
      <c r="M605" s="19" t="str">
        <f>VLOOKUP(B605,Master_Mapper!$A$2:$C$628,3,0)</f>
        <v>Cerity Partners</v>
      </c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</row>
    <row r="606">
      <c r="A606" s="21" t="b">
        <v>0</v>
      </c>
      <c r="B606" s="34" t="s">
        <v>941</v>
      </c>
      <c r="C606" s="21" t="str">
        <f>vlookup(B606,Vert_Mapper!$A$2:$C$625,2,0)</f>
        <v>Information Technology</v>
      </c>
      <c r="D606" s="21" t="str">
        <f>vlookup(B606,Vert_Mapper!$A$2:$C$625,3,0)</f>
        <v>Software &amp; SaaS</v>
      </c>
      <c r="E606" s="21" t="s">
        <v>26</v>
      </c>
      <c r="F606" s="21" t="s">
        <v>18</v>
      </c>
      <c r="G606" s="21" t="str">
        <f t="shared" si="1"/>
        <v>DECLINING</v>
      </c>
      <c r="H606" s="21" t="s">
        <v>473</v>
      </c>
      <c r="I606" s="24">
        <f>IFERROR(__xludf.DUMMYFUNCTION("ROUND(
  MAX(
    MIN(
      (
        (VALUE(INDEX(SPLIT(K606,""-""),1)) + VALUE(INDEX(SPLIT(K606,""-""),2))) / 2
      ) *
      IFS(
        L606&gt;0.4, 1.6,
        L606&gt;0.1, 1.3,
        L606&gt;=-0.05, 1,
        L606&gt;=-0.2, 0.85,
        TRUE, 0.7
     "&amp;" ),
      VALUE(INDEX(SPLIT(K606,""-""),2))
    ),
    VALUE(INDEX(SPLIT(K606,""-""),1))
  )
)"),126.0)</f>
        <v>126</v>
      </c>
      <c r="J606" s="25">
        <f>I606*(VLOOKUP(C606,'Rev_Mapping Table'!$A$1:$C$12,3,0))</f>
        <v>71064000</v>
      </c>
      <c r="K606" s="24" t="s">
        <v>32</v>
      </c>
      <c r="L606" s="26">
        <v>-0.05</v>
      </c>
      <c r="M606" s="27" t="str">
        <f>VLOOKUP(B606,Master_Mapper!$A$2:$C$628,3,0)</f>
        <v>VentureSouth</v>
      </c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</row>
    <row r="607">
      <c r="A607" s="13" t="b">
        <v>0</v>
      </c>
      <c r="B607" s="14" t="s">
        <v>942</v>
      </c>
      <c r="C607" s="13" t="str">
        <f>vlookup(B607,Vert_Mapper!$A$2:$C$625,2,0)</f>
        <v>Healthcare</v>
      </c>
      <c r="D607" s="13" t="str">
        <f>vlookup(B607,Vert_Mapper!$A$2:$C$625,3,0)</f>
        <v>Healthcare Technology &amp; Analytics</v>
      </c>
      <c r="E607" s="13" t="s">
        <v>26</v>
      </c>
      <c r="F607" s="13" t="s">
        <v>18</v>
      </c>
      <c r="G607" s="13" t="str">
        <f t="shared" si="1"/>
        <v>ACCELERATED GROWTH</v>
      </c>
      <c r="H607" s="13" t="s">
        <v>273</v>
      </c>
      <c r="I607" s="16">
        <f>IFERROR(__xludf.DUMMYFUNCTION("ROUND(
  MAX(
    MIN(
      (
        (VALUE(INDEX(SPLIT(K607,""-""),1)) + VALUE(INDEX(SPLIT(K607,""-""),2))) / 2
      ) *
      IFS(
        L607&gt;0.4, 1.6,
        L607&gt;0.1, 1.3,
        L607&gt;=-0.05, 1,
        L607&gt;=-0.2, 0.85,
        TRUE, 0.7
     "&amp;" ),
      VALUE(INDEX(SPLIT(K607,""-""),2))
    ),
    VALUE(INDEX(SPLIT(K607,""-""),1))
  )
)"),40.0)</f>
        <v>40</v>
      </c>
      <c r="J607" s="17">
        <f>I607*(VLOOKUP(C607,'Rev_Mapping Table'!$A$1:$C$12,3,0))</f>
        <v>22240000</v>
      </c>
      <c r="K607" s="16" t="s">
        <v>25</v>
      </c>
      <c r="L607" s="18">
        <v>0.27</v>
      </c>
      <c r="M607" s="19" t="str">
        <f>VLOOKUP(B607,Master_Mapper!$A$2:$C$628,3,0)</f>
        <v>VentureSouth</v>
      </c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</row>
    <row r="608">
      <c r="A608" s="21" t="b">
        <v>0</v>
      </c>
      <c r="B608" s="31" t="s">
        <v>943</v>
      </c>
      <c r="C608" s="21" t="str">
        <f>vlookup(B608,Vert_Mapper!$A$2:$C$625,2,0)</f>
        <v>Financials</v>
      </c>
      <c r="D608" s="21" t="str">
        <f>vlookup(B608,Vert_Mapper!$A$2:$C$625,3,0)</f>
        <v>Financial Technology &amp; Investment Services</v>
      </c>
      <c r="E608" s="21" t="s">
        <v>26</v>
      </c>
      <c r="F608" s="21" t="s">
        <v>18</v>
      </c>
      <c r="G608" s="21" t="str">
        <f t="shared" si="1"/>
        <v>DECLINING</v>
      </c>
      <c r="H608" s="21" t="s">
        <v>40</v>
      </c>
      <c r="I608" s="24">
        <f>IFERROR(__xludf.DUMMYFUNCTION("ROUND(
  MAX(
    MIN(
      (
        (VALUE(INDEX(SPLIT(K608,""-""),1)) + VALUE(INDEX(SPLIT(K608,""-""),2))) / 2
      ) *
      IFS(
        L608&gt;0.4, 1.6,
        L608&gt;0.1, 1.3,
        L608&gt;=-0.05, 1,
        L608&gt;=-0.2, 0.85,
        TRUE, 0.7
     "&amp;" ),
      VALUE(INDEX(SPLIT(K608,""-""),2))
    ),
    VALUE(INDEX(SPLIT(K608,""-""),1))
  )
)"),3001.0)</f>
        <v>3001</v>
      </c>
      <c r="J608" s="25">
        <f>I608*(VLOOKUP(C608,'Rev_Mapping Table'!$A$1:$C$12,3,0))</f>
        <v>2715905000</v>
      </c>
      <c r="K608" s="24" t="s">
        <v>96</v>
      </c>
      <c r="L608" s="26">
        <v>-0.05</v>
      </c>
      <c r="M608" s="27" t="str">
        <f>VLOOKUP(B608,Master_Mapper!$A$2:$C$628,3,0)</f>
        <v>Harbor Island Equity Partners</v>
      </c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</row>
    <row r="609">
      <c r="A609" s="13" t="b">
        <v>0</v>
      </c>
      <c r="B609" s="14" t="s">
        <v>944</v>
      </c>
      <c r="C609" s="13" t="str">
        <f>vlookup(B609,Vert_Mapper!$A$2:$C$625,2,0)</f>
        <v>Consumer Discretionary</v>
      </c>
      <c r="D609" s="13" t="str">
        <f>vlookup(B609,Vert_Mapper!$A$2:$C$625,3,0)</f>
        <v>Retail &amp; E-commerce</v>
      </c>
      <c r="E609" s="13" t="s">
        <v>26</v>
      </c>
      <c r="F609" s="13" t="s">
        <v>18</v>
      </c>
      <c r="G609" s="13" t="str">
        <f t="shared" si="1"/>
        <v>GROWTH PHASE</v>
      </c>
      <c r="H609" s="13" t="s">
        <v>633</v>
      </c>
      <c r="I609" s="16">
        <f>IFERROR(__xludf.DUMMYFUNCTION("ROUND(
  MAX(
    MIN(
      (
        (VALUE(INDEX(SPLIT(K609,""-""),1)) + VALUE(INDEX(SPLIT(K609,""-""),2))) / 2
      ) *
      IFS(
        L609&gt;0.4, 1.6,
        L609&gt;0.1, 1.3,
        L609&gt;=-0.05, 1,
        L609&gt;=-0.2, 0.85,
        TRUE, 0.7
     "&amp;" ),
      VALUE(INDEX(SPLIT(K609,""-""),2))
    ),
    VALUE(INDEX(SPLIT(K609,""-""),1))
  )
)"),751.0)</f>
        <v>751</v>
      </c>
      <c r="J609" s="17">
        <f>I609*(VLOOKUP(C609,'Rev_Mapping Table'!$A$1:$C$12,3,0))</f>
        <v>384512000</v>
      </c>
      <c r="K609" s="16" t="s">
        <v>54</v>
      </c>
      <c r="L609" s="18">
        <v>0.08</v>
      </c>
      <c r="M609" s="19" t="str">
        <f>VLOOKUP(B609,Master_Mapper!$A$2:$C$628,3,0)</f>
        <v>Blue Point Capital Partners</v>
      </c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</row>
    <row r="610">
      <c r="A610" s="6"/>
      <c r="B610" s="47"/>
      <c r="C610" s="6"/>
      <c r="D610" s="6"/>
      <c r="E610" s="6"/>
      <c r="F610" s="6"/>
      <c r="G610" s="48"/>
      <c r="H610" s="48"/>
      <c r="I610" s="49"/>
      <c r="J610" s="50"/>
      <c r="K610" s="49"/>
      <c r="L610" s="49"/>
      <c r="M610" s="48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</row>
    <row r="611">
      <c r="A611" s="6"/>
      <c r="B611" s="47"/>
      <c r="C611" s="6"/>
      <c r="D611" s="6"/>
      <c r="E611" s="6"/>
      <c r="F611" s="6"/>
      <c r="G611" s="48"/>
      <c r="H611" s="48"/>
      <c r="I611" s="49"/>
      <c r="J611" s="50"/>
      <c r="K611" s="49"/>
      <c r="L611" s="49"/>
      <c r="M611" s="48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</row>
    <row r="612">
      <c r="A612" s="6"/>
      <c r="B612" s="47"/>
      <c r="C612" s="6"/>
      <c r="D612" s="6"/>
      <c r="E612" s="6"/>
      <c r="F612" s="6"/>
      <c r="G612" s="48"/>
      <c r="H612" s="48"/>
      <c r="I612" s="49"/>
      <c r="J612" s="50"/>
      <c r="K612" s="49"/>
      <c r="L612" s="49"/>
      <c r="M612" s="48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</row>
    <row r="613">
      <c r="A613" s="6"/>
      <c r="B613" s="47"/>
      <c r="C613" s="6"/>
      <c r="D613" s="6"/>
      <c r="E613" s="6"/>
      <c r="F613" s="6"/>
      <c r="G613" s="48"/>
      <c r="H613" s="48"/>
      <c r="I613" s="49"/>
      <c r="J613" s="50"/>
      <c r="K613" s="49"/>
      <c r="L613" s="49"/>
      <c r="M613" s="48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</row>
    <row r="614">
      <c r="A614" s="6"/>
      <c r="B614" s="47"/>
      <c r="C614" s="6"/>
      <c r="D614" s="6"/>
      <c r="E614" s="6"/>
      <c r="F614" s="6"/>
      <c r="G614" s="48"/>
      <c r="H614" s="48"/>
      <c r="I614" s="49"/>
      <c r="J614" s="50"/>
      <c r="K614" s="49"/>
      <c r="L614" s="49"/>
      <c r="M614" s="48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</row>
    <row r="615">
      <c r="A615" s="6"/>
      <c r="B615" s="47"/>
      <c r="C615" s="6"/>
      <c r="D615" s="6"/>
      <c r="E615" s="6"/>
      <c r="F615" s="6"/>
      <c r="G615" s="48"/>
      <c r="H615" s="48"/>
      <c r="I615" s="49"/>
      <c r="J615" s="50"/>
      <c r="K615" s="49"/>
      <c r="L615" s="49"/>
      <c r="M615" s="48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</row>
    <row r="616">
      <c r="A616" s="6"/>
      <c r="B616" s="47"/>
      <c r="C616" s="6"/>
      <c r="D616" s="6"/>
      <c r="E616" s="6"/>
      <c r="F616" s="6"/>
      <c r="G616" s="48"/>
      <c r="H616" s="48"/>
      <c r="I616" s="49"/>
      <c r="J616" s="50"/>
      <c r="K616" s="49"/>
      <c r="L616" s="49"/>
      <c r="M616" s="48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</row>
    <row r="617">
      <c r="A617" s="6"/>
      <c r="B617" s="47"/>
      <c r="C617" s="6"/>
      <c r="D617" s="6"/>
      <c r="E617" s="6"/>
      <c r="F617" s="6"/>
      <c r="G617" s="48"/>
      <c r="H617" s="48"/>
      <c r="I617" s="49"/>
      <c r="J617" s="50"/>
      <c r="K617" s="49"/>
      <c r="L617" s="49"/>
      <c r="M617" s="48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</row>
    <row r="618">
      <c r="A618" s="6"/>
      <c r="B618" s="47"/>
      <c r="C618" s="6"/>
      <c r="D618" s="6"/>
      <c r="E618" s="6"/>
      <c r="F618" s="6"/>
      <c r="G618" s="48"/>
      <c r="H618" s="48"/>
      <c r="I618" s="49"/>
      <c r="J618" s="50"/>
      <c r="K618" s="49"/>
      <c r="L618" s="49"/>
      <c r="M618" s="48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</row>
    <row r="619">
      <c r="A619" s="6"/>
      <c r="B619" s="47"/>
      <c r="C619" s="6"/>
      <c r="D619" s="6"/>
      <c r="E619" s="6"/>
      <c r="F619" s="6"/>
      <c r="G619" s="48"/>
      <c r="H619" s="48"/>
      <c r="I619" s="49"/>
      <c r="J619" s="50"/>
      <c r="K619" s="49"/>
      <c r="L619" s="49"/>
      <c r="M619" s="48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</row>
    <row r="620">
      <c r="A620" s="6"/>
      <c r="B620" s="47"/>
      <c r="C620" s="6"/>
      <c r="D620" s="6"/>
      <c r="E620" s="6"/>
      <c r="F620" s="6"/>
      <c r="G620" s="48"/>
      <c r="H620" s="48"/>
      <c r="I620" s="49"/>
      <c r="J620" s="50"/>
      <c r="K620" s="49"/>
      <c r="L620" s="49"/>
      <c r="M620" s="48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</row>
    <row r="621">
      <c r="A621" s="6"/>
      <c r="B621" s="47"/>
      <c r="C621" s="6"/>
      <c r="D621" s="6"/>
      <c r="E621" s="6"/>
      <c r="F621" s="6"/>
      <c r="G621" s="48"/>
      <c r="H621" s="48"/>
      <c r="I621" s="49"/>
      <c r="J621" s="50"/>
      <c r="K621" s="49"/>
      <c r="L621" s="49"/>
      <c r="M621" s="48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</row>
    <row r="622">
      <c r="A622" s="6"/>
      <c r="B622" s="47"/>
      <c r="C622" s="6"/>
      <c r="D622" s="6"/>
      <c r="E622" s="6"/>
      <c r="F622" s="6"/>
      <c r="G622" s="48"/>
      <c r="H622" s="48"/>
      <c r="I622" s="49"/>
      <c r="J622" s="50"/>
      <c r="K622" s="49"/>
      <c r="L622" s="49"/>
      <c r="M622" s="48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</row>
    <row r="623">
      <c r="A623" s="6"/>
      <c r="B623" s="47"/>
      <c r="C623" s="6"/>
      <c r="D623" s="6"/>
      <c r="E623" s="6"/>
      <c r="F623" s="6"/>
      <c r="G623" s="48"/>
      <c r="H623" s="48"/>
      <c r="I623" s="49"/>
      <c r="J623" s="50"/>
      <c r="K623" s="49"/>
      <c r="L623" s="49"/>
      <c r="M623" s="48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</row>
    <row r="624">
      <c r="A624" s="6"/>
      <c r="B624" s="47"/>
      <c r="C624" s="6"/>
      <c r="D624" s="6"/>
      <c r="E624" s="6"/>
      <c r="F624" s="6"/>
      <c r="G624" s="48"/>
      <c r="H624" s="48"/>
      <c r="I624" s="49"/>
      <c r="J624" s="50"/>
      <c r="K624" s="49"/>
      <c r="L624" s="49"/>
      <c r="M624" s="48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</row>
    <row r="625">
      <c r="A625" s="6"/>
      <c r="B625" s="47"/>
      <c r="C625" s="6"/>
      <c r="D625" s="6"/>
      <c r="E625" s="6"/>
      <c r="F625" s="6"/>
      <c r="G625" s="48"/>
      <c r="H625" s="48"/>
      <c r="I625" s="49"/>
      <c r="J625" s="50"/>
      <c r="K625" s="49"/>
      <c r="L625" s="49"/>
      <c r="M625" s="48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</row>
    <row r="626">
      <c r="A626" s="6"/>
      <c r="B626" s="47"/>
      <c r="C626" s="6"/>
      <c r="D626" s="6"/>
      <c r="E626" s="6"/>
      <c r="F626" s="6"/>
      <c r="G626" s="48"/>
      <c r="H626" s="48"/>
      <c r="I626" s="49"/>
      <c r="J626" s="50"/>
      <c r="K626" s="49"/>
      <c r="L626" s="49"/>
      <c r="M626" s="48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</row>
    <row r="627">
      <c r="A627" s="6"/>
      <c r="B627" s="47"/>
      <c r="C627" s="6"/>
      <c r="D627" s="6"/>
      <c r="E627" s="6"/>
      <c r="F627" s="6"/>
      <c r="G627" s="48"/>
      <c r="H627" s="48"/>
      <c r="I627" s="49"/>
      <c r="J627" s="50"/>
      <c r="K627" s="49"/>
      <c r="L627" s="49"/>
      <c r="M627" s="48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</row>
    <row r="628">
      <c r="A628" s="6"/>
      <c r="B628" s="47"/>
      <c r="C628" s="6"/>
      <c r="D628" s="6"/>
      <c r="E628" s="6"/>
      <c r="F628" s="6"/>
      <c r="G628" s="48"/>
      <c r="H628" s="48"/>
      <c r="I628" s="49"/>
      <c r="J628" s="50"/>
      <c r="K628" s="49"/>
      <c r="L628" s="49"/>
      <c r="M628" s="48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</row>
    <row r="629">
      <c r="A629" s="6"/>
      <c r="B629" s="47"/>
      <c r="C629" s="6"/>
      <c r="D629" s="6"/>
      <c r="E629" s="6"/>
      <c r="F629" s="6"/>
      <c r="G629" s="48"/>
      <c r="H629" s="48"/>
      <c r="I629" s="49"/>
      <c r="J629" s="50"/>
      <c r="K629" s="49"/>
      <c r="L629" s="49"/>
      <c r="M629" s="48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</row>
    <row r="630">
      <c r="A630" s="6"/>
      <c r="B630" s="47"/>
      <c r="C630" s="6"/>
      <c r="D630" s="6"/>
      <c r="E630" s="6"/>
      <c r="F630" s="6"/>
      <c r="G630" s="48"/>
      <c r="H630" s="48"/>
      <c r="I630" s="49"/>
      <c r="J630" s="50"/>
      <c r="K630" s="49"/>
      <c r="L630" s="49"/>
      <c r="M630" s="48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</row>
    <row r="631">
      <c r="A631" s="6"/>
      <c r="B631" s="47"/>
      <c r="C631" s="6"/>
      <c r="D631" s="6"/>
      <c r="E631" s="6"/>
      <c r="F631" s="6"/>
      <c r="G631" s="48"/>
      <c r="H631" s="48"/>
      <c r="I631" s="49"/>
      <c r="J631" s="50"/>
      <c r="K631" s="49"/>
      <c r="L631" s="49"/>
      <c r="M631" s="48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</row>
    <row r="632">
      <c r="A632" s="6"/>
      <c r="B632" s="47"/>
      <c r="C632" s="6"/>
      <c r="D632" s="6"/>
      <c r="E632" s="6"/>
      <c r="F632" s="6"/>
      <c r="G632" s="48"/>
      <c r="H632" s="48"/>
      <c r="I632" s="49"/>
      <c r="J632" s="50"/>
      <c r="K632" s="49"/>
      <c r="L632" s="49"/>
      <c r="M632" s="48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</row>
    <row r="633">
      <c r="A633" s="6"/>
      <c r="B633" s="47"/>
      <c r="C633" s="6"/>
      <c r="D633" s="6"/>
      <c r="E633" s="6"/>
      <c r="F633" s="6"/>
      <c r="G633" s="48"/>
      <c r="H633" s="48"/>
      <c r="I633" s="49"/>
      <c r="J633" s="50"/>
      <c r="K633" s="49"/>
      <c r="L633" s="49"/>
      <c r="M633" s="48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</row>
    <row r="634">
      <c r="A634" s="6"/>
      <c r="B634" s="47"/>
      <c r="C634" s="6"/>
      <c r="D634" s="6"/>
      <c r="E634" s="6"/>
      <c r="F634" s="6"/>
      <c r="G634" s="48"/>
      <c r="H634" s="48"/>
      <c r="I634" s="49"/>
      <c r="J634" s="50"/>
      <c r="K634" s="49"/>
      <c r="L634" s="49"/>
      <c r="M634" s="48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</row>
    <row r="635">
      <c r="A635" s="6"/>
      <c r="B635" s="47"/>
      <c r="C635" s="6"/>
      <c r="D635" s="6"/>
      <c r="E635" s="6"/>
      <c r="F635" s="6"/>
      <c r="G635" s="48"/>
      <c r="H635" s="48"/>
      <c r="I635" s="49"/>
      <c r="J635" s="50"/>
      <c r="K635" s="49"/>
      <c r="L635" s="49"/>
      <c r="M635" s="48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</row>
    <row r="636">
      <c r="A636" s="6"/>
      <c r="B636" s="47"/>
      <c r="C636" s="6"/>
      <c r="D636" s="6"/>
      <c r="E636" s="6"/>
      <c r="F636" s="6"/>
      <c r="G636" s="48"/>
      <c r="H636" s="48"/>
      <c r="I636" s="49"/>
      <c r="J636" s="50"/>
      <c r="K636" s="49"/>
      <c r="L636" s="49"/>
      <c r="M636" s="48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</row>
    <row r="637">
      <c r="A637" s="6"/>
      <c r="B637" s="47"/>
      <c r="C637" s="6"/>
      <c r="D637" s="6"/>
      <c r="E637" s="6"/>
      <c r="F637" s="6"/>
      <c r="G637" s="48"/>
      <c r="H637" s="48"/>
      <c r="I637" s="49"/>
      <c r="J637" s="50"/>
      <c r="K637" s="49"/>
      <c r="L637" s="49"/>
      <c r="M637" s="48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</row>
    <row r="638">
      <c r="A638" s="6"/>
      <c r="B638" s="47"/>
      <c r="C638" s="6"/>
      <c r="D638" s="6"/>
      <c r="E638" s="6"/>
      <c r="F638" s="6"/>
      <c r="G638" s="48"/>
      <c r="H638" s="48"/>
      <c r="I638" s="49"/>
      <c r="J638" s="50"/>
      <c r="K638" s="49"/>
      <c r="L638" s="49"/>
      <c r="M638" s="48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</row>
    <row r="639">
      <c r="A639" s="6"/>
      <c r="B639" s="47"/>
      <c r="C639" s="6"/>
      <c r="D639" s="6"/>
      <c r="E639" s="6"/>
      <c r="F639" s="6"/>
      <c r="G639" s="48"/>
      <c r="H639" s="48"/>
      <c r="I639" s="49"/>
      <c r="J639" s="50"/>
      <c r="K639" s="49"/>
      <c r="L639" s="49"/>
      <c r="M639" s="48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</row>
    <row r="640">
      <c r="A640" s="6"/>
      <c r="B640" s="47"/>
      <c r="C640" s="6"/>
      <c r="D640" s="6"/>
      <c r="E640" s="6"/>
      <c r="F640" s="6"/>
      <c r="G640" s="48"/>
      <c r="H640" s="48"/>
      <c r="I640" s="49"/>
      <c r="J640" s="50"/>
      <c r="K640" s="49"/>
      <c r="L640" s="49"/>
      <c r="M640" s="48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</row>
    <row r="641">
      <c r="A641" s="6"/>
      <c r="B641" s="47"/>
      <c r="C641" s="6"/>
      <c r="D641" s="6"/>
      <c r="E641" s="6"/>
      <c r="F641" s="6"/>
      <c r="G641" s="48"/>
      <c r="H641" s="48"/>
      <c r="I641" s="49"/>
      <c r="J641" s="50"/>
      <c r="K641" s="49"/>
      <c r="L641" s="49"/>
      <c r="M641" s="48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</row>
    <row r="642">
      <c r="A642" s="6"/>
      <c r="B642" s="47"/>
      <c r="C642" s="6"/>
      <c r="D642" s="6"/>
      <c r="E642" s="6"/>
      <c r="F642" s="6"/>
      <c r="G642" s="48"/>
      <c r="H642" s="48"/>
      <c r="I642" s="49"/>
      <c r="J642" s="50"/>
      <c r="K642" s="49"/>
      <c r="L642" s="49"/>
      <c r="M642" s="48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</row>
    <row r="643">
      <c r="A643" s="6"/>
      <c r="B643" s="47"/>
      <c r="C643" s="6"/>
      <c r="D643" s="6"/>
      <c r="E643" s="6"/>
      <c r="F643" s="6"/>
      <c r="G643" s="48"/>
      <c r="H643" s="48"/>
      <c r="I643" s="49"/>
      <c r="J643" s="50"/>
      <c r="K643" s="49"/>
      <c r="L643" s="49"/>
      <c r="M643" s="48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</row>
    <row r="644">
      <c r="A644" s="6"/>
      <c r="B644" s="47"/>
      <c r="C644" s="6"/>
      <c r="D644" s="6"/>
      <c r="E644" s="6"/>
      <c r="F644" s="6"/>
      <c r="G644" s="48"/>
      <c r="H644" s="48"/>
      <c r="I644" s="49"/>
      <c r="J644" s="50"/>
      <c r="K644" s="49"/>
      <c r="L644" s="49"/>
      <c r="M644" s="48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</row>
    <row r="645">
      <c r="A645" s="6"/>
      <c r="B645" s="47"/>
      <c r="C645" s="6"/>
      <c r="D645" s="6"/>
      <c r="E645" s="6"/>
      <c r="F645" s="6"/>
      <c r="G645" s="48"/>
      <c r="H645" s="48"/>
      <c r="I645" s="49"/>
      <c r="J645" s="50"/>
      <c r="K645" s="49"/>
      <c r="L645" s="49"/>
      <c r="M645" s="48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</row>
    <row r="646">
      <c r="A646" s="6"/>
      <c r="B646" s="47"/>
      <c r="C646" s="6"/>
      <c r="D646" s="6"/>
      <c r="E646" s="6"/>
      <c r="F646" s="6"/>
      <c r="G646" s="48"/>
      <c r="H646" s="48"/>
      <c r="I646" s="49"/>
      <c r="J646" s="50"/>
      <c r="K646" s="49"/>
      <c r="L646" s="49"/>
      <c r="M646" s="48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</row>
    <row r="647">
      <c r="A647" s="6"/>
      <c r="B647" s="47"/>
      <c r="C647" s="6"/>
      <c r="D647" s="6"/>
      <c r="E647" s="6"/>
      <c r="F647" s="6"/>
      <c r="G647" s="48"/>
      <c r="H647" s="48"/>
      <c r="I647" s="49"/>
      <c r="J647" s="50"/>
      <c r="K647" s="49"/>
      <c r="L647" s="49"/>
      <c r="M647" s="48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</row>
    <row r="648">
      <c r="A648" s="6"/>
      <c r="B648" s="47"/>
      <c r="C648" s="6"/>
      <c r="D648" s="6"/>
      <c r="E648" s="6"/>
      <c r="F648" s="6"/>
      <c r="G648" s="48"/>
      <c r="H648" s="48"/>
      <c r="I648" s="49"/>
      <c r="J648" s="50"/>
      <c r="K648" s="49"/>
      <c r="L648" s="49"/>
      <c r="M648" s="48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</row>
    <row r="649">
      <c r="A649" s="6"/>
      <c r="B649" s="47"/>
      <c r="C649" s="6"/>
      <c r="D649" s="6"/>
      <c r="E649" s="6"/>
      <c r="F649" s="6"/>
      <c r="G649" s="48"/>
      <c r="H649" s="48"/>
      <c r="I649" s="49"/>
      <c r="J649" s="50"/>
      <c r="K649" s="49"/>
      <c r="L649" s="49"/>
      <c r="M649" s="48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</row>
    <row r="650">
      <c r="A650" s="6"/>
      <c r="B650" s="47"/>
      <c r="C650" s="6"/>
      <c r="D650" s="6"/>
      <c r="E650" s="6"/>
      <c r="F650" s="6"/>
      <c r="G650" s="48"/>
      <c r="H650" s="48"/>
      <c r="I650" s="49"/>
      <c r="J650" s="50"/>
      <c r="K650" s="49"/>
      <c r="L650" s="49"/>
      <c r="M650" s="48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</row>
    <row r="651">
      <c r="A651" s="6"/>
      <c r="B651" s="47"/>
      <c r="C651" s="6"/>
      <c r="D651" s="6"/>
      <c r="E651" s="6"/>
      <c r="F651" s="6"/>
      <c r="G651" s="48"/>
      <c r="H651" s="48"/>
      <c r="I651" s="49"/>
      <c r="J651" s="50"/>
      <c r="K651" s="49"/>
      <c r="L651" s="49"/>
      <c r="M651" s="48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</row>
    <row r="652">
      <c r="A652" s="6"/>
      <c r="B652" s="47"/>
      <c r="C652" s="6"/>
      <c r="D652" s="6"/>
      <c r="E652" s="6"/>
      <c r="F652" s="6"/>
      <c r="G652" s="48"/>
      <c r="H652" s="48"/>
      <c r="I652" s="49"/>
      <c r="J652" s="50"/>
      <c r="K652" s="49"/>
      <c r="L652" s="49"/>
      <c r="M652" s="48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</row>
    <row r="653">
      <c r="A653" s="6"/>
      <c r="B653" s="47"/>
      <c r="C653" s="6"/>
      <c r="D653" s="6"/>
      <c r="E653" s="6"/>
      <c r="F653" s="6"/>
      <c r="G653" s="48"/>
      <c r="H653" s="48"/>
      <c r="I653" s="49"/>
      <c r="J653" s="50"/>
      <c r="K653" s="49"/>
      <c r="L653" s="49"/>
      <c r="M653" s="48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</row>
    <row r="654">
      <c r="A654" s="6"/>
      <c r="B654" s="47"/>
      <c r="C654" s="6"/>
      <c r="D654" s="6"/>
      <c r="E654" s="6"/>
      <c r="F654" s="6"/>
      <c r="G654" s="48"/>
      <c r="H654" s="48"/>
      <c r="I654" s="49"/>
      <c r="J654" s="50"/>
      <c r="K654" s="49"/>
      <c r="L654" s="49"/>
      <c r="M654" s="48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</row>
    <row r="655">
      <c r="A655" s="6"/>
      <c r="B655" s="47"/>
      <c r="C655" s="6"/>
      <c r="D655" s="6"/>
      <c r="E655" s="6"/>
      <c r="F655" s="6"/>
      <c r="G655" s="48"/>
      <c r="H655" s="48"/>
      <c r="I655" s="49"/>
      <c r="J655" s="50"/>
      <c r="K655" s="49"/>
      <c r="L655" s="49"/>
      <c r="M655" s="48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</row>
    <row r="656">
      <c r="A656" s="6"/>
      <c r="B656" s="47"/>
      <c r="C656" s="6"/>
      <c r="D656" s="6"/>
      <c r="E656" s="6"/>
      <c r="F656" s="6"/>
      <c r="G656" s="48"/>
      <c r="H656" s="48"/>
      <c r="I656" s="49"/>
      <c r="J656" s="50"/>
      <c r="K656" s="49"/>
      <c r="L656" s="49"/>
      <c r="M656" s="48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</row>
    <row r="657">
      <c r="A657" s="6"/>
      <c r="B657" s="47"/>
      <c r="C657" s="6"/>
      <c r="D657" s="6"/>
      <c r="E657" s="6"/>
      <c r="F657" s="6"/>
      <c r="G657" s="48"/>
      <c r="H657" s="48"/>
      <c r="I657" s="49"/>
      <c r="J657" s="50"/>
      <c r="K657" s="49"/>
      <c r="L657" s="49"/>
      <c r="M657" s="48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</row>
    <row r="658">
      <c r="A658" s="6"/>
      <c r="B658" s="47"/>
      <c r="C658" s="6"/>
      <c r="D658" s="6"/>
      <c r="E658" s="6"/>
      <c r="F658" s="6"/>
      <c r="G658" s="48"/>
      <c r="H658" s="48"/>
      <c r="I658" s="49"/>
      <c r="J658" s="50"/>
      <c r="K658" s="49"/>
      <c r="L658" s="49"/>
      <c r="M658" s="48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</row>
    <row r="659">
      <c r="A659" s="6"/>
      <c r="B659" s="47"/>
      <c r="C659" s="6"/>
      <c r="D659" s="6"/>
      <c r="E659" s="6"/>
      <c r="F659" s="6"/>
      <c r="G659" s="48"/>
      <c r="H659" s="48"/>
      <c r="I659" s="49"/>
      <c r="J659" s="50"/>
      <c r="K659" s="49"/>
      <c r="L659" s="49"/>
      <c r="M659" s="48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</row>
    <row r="660">
      <c r="A660" s="6"/>
      <c r="B660" s="47"/>
      <c r="C660" s="6"/>
      <c r="D660" s="6"/>
      <c r="E660" s="6"/>
      <c r="F660" s="6"/>
      <c r="G660" s="48"/>
      <c r="H660" s="48"/>
      <c r="I660" s="49"/>
      <c r="J660" s="50"/>
      <c r="K660" s="49"/>
      <c r="L660" s="49"/>
      <c r="M660" s="48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</row>
    <row r="661">
      <c r="A661" s="6"/>
      <c r="B661" s="47"/>
      <c r="C661" s="6"/>
      <c r="D661" s="6"/>
      <c r="E661" s="6"/>
      <c r="F661" s="6"/>
      <c r="G661" s="48"/>
      <c r="H661" s="48"/>
      <c r="I661" s="49"/>
      <c r="J661" s="50"/>
      <c r="K661" s="49"/>
      <c r="L661" s="49"/>
      <c r="M661" s="48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</row>
    <row r="662">
      <c r="A662" s="6"/>
      <c r="B662" s="47"/>
      <c r="C662" s="6"/>
      <c r="D662" s="6"/>
      <c r="E662" s="6"/>
      <c r="F662" s="6"/>
      <c r="G662" s="48"/>
      <c r="H662" s="48"/>
      <c r="I662" s="49"/>
      <c r="J662" s="50"/>
      <c r="K662" s="49"/>
      <c r="L662" s="49"/>
      <c r="M662" s="48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</row>
    <row r="663">
      <c r="A663" s="6"/>
      <c r="B663" s="47"/>
      <c r="C663" s="6"/>
      <c r="D663" s="6"/>
      <c r="E663" s="6"/>
      <c r="F663" s="6"/>
      <c r="G663" s="48"/>
      <c r="H663" s="48"/>
      <c r="I663" s="49"/>
      <c r="J663" s="50"/>
      <c r="K663" s="49"/>
      <c r="L663" s="49"/>
      <c r="M663" s="48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</row>
    <row r="664">
      <c r="A664" s="6"/>
      <c r="B664" s="47"/>
      <c r="C664" s="6"/>
      <c r="D664" s="6"/>
      <c r="E664" s="6"/>
      <c r="F664" s="6"/>
      <c r="G664" s="48"/>
      <c r="H664" s="48"/>
      <c r="I664" s="49"/>
      <c r="J664" s="50"/>
      <c r="K664" s="49"/>
      <c r="L664" s="49"/>
      <c r="M664" s="48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</row>
    <row r="665">
      <c r="A665" s="6"/>
      <c r="B665" s="47"/>
      <c r="C665" s="6"/>
      <c r="D665" s="6"/>
      <c r="E665" s="6"/>
      <c r="F665" s="6"/>
      <c r="G665" s="48"/>
      <c r="H665" s="48"/>
      <c r="I665" s="49"/>
      <c r="J665" s="50"/>
      <c r="K665" s="49"/>
      <c r="L665" s="49"/>
      <c r="M665" s="48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</row>
    <row r="666">
      <c r="A666" s="6"/>
      <c r="B666" s="47"/>
      <c r="C666" s="6"/>
      <c r="D666" s="6"/>
      <c r="E666" s="6"/>
      <c r="F666" s="6"/>
      <c r="G666" s="48"/>
      <c r="H666" s="48"/>
      <c r="I666" s="49"/>
      <c r="J666" s="50"/>
      <c r="K666" s="49"/>
      <c r="L666" s="49"/>
      <c r="M666" s="48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</row>
    <row r="667">
      <c r="A667" s="6"/>
      <c r="B667" s="47"/>
      <c r="C667" s="6"/>
      <c r="D667" s="6"/>
      <c r="E667" s="6"/>
      <c r="F667" s="6"/>
      <c r="G667" s="48"/>
      <c r="H667" s="48"/>
      <c r="I667" s="49"/>
      <c r="J667" s="50"/>
      <c r="K667" s="49"/>
      <c r="L667" s="49"/>
      <c r="M667" s="48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</row>
    <row r="668">
      <c r="A668" s="6"/>
      <c r="B668" s="47"/>
      <c r="C668" s="6"/>
      <c r="D668" s="6"/>
      <c r="E668" s="6"/>
      <c r="F668" s="6"/>
      <c r="G668" s="48"/>
      <c r="H668" s="48"/>
      <c r="I668" s="49"/>
      <c r="J668" s="50"/>
      <c r="K668" s="49"/>
      <c r="L668" s="49"/>
      <c r="M668" s="48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</row>
    <row r="669">
      <c r="A669" s="6"/>
      <c r="B669" s="47"/>
      <c r="C669" s="6"/>
      <c r="D669" s="6"/>
      <c r="E669" s="6"/>
      <c r="F669" s="6"/>
      <c r="G669" s="48"/>
      <c r="H669" s="48"/>
      <c r="I669" s="49"/>
      <c r="J669" s="50"/>
      <c r="K669" s="49"/>
      <c r="L669" s="49"/>
      <c r="M669" s="48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</row>
    <row r="670">
      <c r="A670" s="6"/>
      <c r="B670" s="47"/>
      <c r="C670" s="6"/>
      <c r="D670" s="6"/>
      <c r="E670" s="6"/>
      <c r="F670" s="6"/>
      <c r="G670" s="48"/>
      <c r="H670" s="48"/>
      <c r="I670" s="49"/>
      <c r="J670" s="50"/>
      <c r="K670" s="49"/>
      <c r="L670" s="49"/>
      <c r="M670" s="48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</row>
    <row r="671">
      <c r="A671" s="6"/>
      <c r="B671" s="47"/>
      <c r="C671" s="6"/>
      <c r="D671" s="6"/>
      <c r="E671" s="6"/>
      <c r="F671" s="6"/>
      <c r="G671" s="48"/>
      <c r="H671" s="48"/>
      <c r="I671" s="49"/>
      <c r="J671" s="50"/>
      <c r="K671" s="49"/>
      <c r="L671" s="49"/>
      <c r="M671" s="48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</row>
    <row r="672">
      <c r="A672" s="6"/>
      <c r="B672" s="47"/>
      <c r="C672" s="6"/>
      <c r="D672" s="6"/>
      <c r="E672" s="6"/>
      <c r="F672" s="6"/>
      <c r="G672" s="48"/>
      <c r="H672" s="48"/>
      <c r="I672" s="49"/>
      <c r="J672" s="50"/>
      <c r="K672" s="49"/>
      <c r="L672" s="49"/>
      <c r="M672" s="48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</row>
    <row r="673">
      <c r="A673" s="6"/>
      <c r="B673" s="47"/>
      <c r="C673" s="6"/>
      <c r="D673" s="6"/>
      <c r="E673" s="6"/>
      <c r="F673" s="6"/>
      <c r="G673" s="48"/>
      <c r="H673" s="48"/>
      <c r="I673" s="49"/>
      <c r="J673" s="50"/>
      <c r="K673" s="49"/>
      <c r="L673" s="49"/>
      <c r="M673" s="48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</row>
    <row r="674">
      <c r="A674" s="6"/>
      <c r="B674" s="47"/>
      <c r="C674" s="6"/>
      <c r="D674" s="6"/>
      <c r="E674" s="6"/>
      <c r="F674" s="6"/>
      <c r="G674" s="48"/>
      <c r="H674" s="48"/>
      <c r="I674" s="49"/>
      <c r="J674" s="50"/>
      <c r="K674" s="49"/>
      <c r="L674" s="49"/>
      <c r="M674" s="48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</row>
    <row r="675">
      <c r="A675" s="6"/>
      <c r="B675" s="47"/>
      <c r="C675" s="6"/>
      <c r="D675" s="6"/>
      <c r="E675" s="6"/>
      <c r="F675" s="6"/>
      <c r="G675" s="48"/>
      <c r="H675" s="48"/>
      <c r="I675" s="49"/>
      <c r="J675" s="50"/>
      <c r="K675" s="49"/>
      <c r="L675" s="49"/>
      <c r="M675" s="48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</row>
    <row r="676">
      <c r="A676" s="6"/>
      <c r="B676" s="47"/>
      <c r="C676" s="6"/>
      <c r="D676" s="6"/>
      <c r="E676" s="6"/>
      <c r="F676" s="6"/>
      <c r="G676" s="48"/>
      <c r="H676" s="48"/>
      <c r="I676" s="49"/>
      <c r="J676" s="50"/>
      <c r="K676" s="49"/>
      <c r="L676" s="49"/>
      <c r="M676" s="48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</row>
    <row r="677">
      <c r="A677" s="6"/>
      <c r="B677" s="47"/>
      <c r="C677" s="6"/>
      <c r="D677" s="6"/>
      <c r="E677" s="6"/>
      <c r="F677" s="6"/>
      <c r="G677" s="48"/>
      <c r="H677" s="48"/>
      <c r="I677" s="49"/>
      <c r="J677" s="50"/>
      <c r="K677" s="49"/>
      <c r="L677" s="49"/>
      <c r="M677" s="48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</row>
    <row r="678">
      <c r="A678" s="6"/>
      <c r="B678" s="47"/>
      <c r="C678" s="6"/>
      <c r="D678" s="6"/>
      <c r="E678" s="6"/>
      <c r="F678" s="6"/>
      <c r="G678" s="48"/>
      <c r="H678" s="48"/>
      <c r="I678" s="49"/>
      <c r="J678" s="50"/>
      <c r="K678" s="49"/>
      <c r="L678" s="49"/>
      <c r="M678" s="48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</row>
    <row r="679">
      <c r="A679" s="6"/>
      <c r="B679" s="47"/>
      <c r="C679" s="6"/>
      <c r="D679" s="6"/>
      <c r="E679" s="6"/>
      <c r="F679" s="6"/>
      <c r="G679" s="48"/>
      <c r="H679" s="48"/>
      <c r="I679" s="49"/>
      <c r="J679" s="50"/>
      <c r="K679" s="49"/>
      <c r="L679" s="49"/>
      <c r="M679" s="48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</row>
    <row r="680">
      <c r="A680" s="6"/>
      <c r="B680" s="47"/>
      <c r="C680" s="6"/>
      <c r="D680" s="6"/>
      <c r="E680" s="6"/>
      <c r="F680" s="6"/>
      <c r="G680" s="48"/>
      <c r="H680" s="48"/>
      <c r="I680" s="49"/>
      <c r="J680" s="50"/>
      <c r="K680" s="49"/>
      <c r="L680" s="49"/>
      <c r="M680" s="48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</row>
    <row r="681">
      <c r="A681" s="6"/>
      <c r="B681" s="47"/>
      <c r="C681" s="6"/>
      <c r="D681" s="6"/>
      <c r="E681" s="6"/>
      <c r="F681" s="6"/>
      <c r="G681" s="48"/>
      <c r="H681" s="48"/>
      <c r="I681" s="49"/>
      <c r="J681" s="50"/>
      <c r="K681" s="49"/>
      <c r="L681" s="49"/>
      <c r="M681" s="48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</row>
    <row r="682">
      <c r="A682" s="6"/>
      <c r="B682" s="47"/>
      <c r="C682" s="6"/>
      <c r="D682" s="6"/>
      <c r="E682" s="6"/>
      <c r="F682" s="6"/>
      <c r="G682" s="48"/>
      <c r="H682" s="48"/>
      <c r="I682" s="49"/>
      <c r="J682" s="50"/>
      <c r="K682" s="49"/>
      <c r="L682" s="49"/>
      <c r="M682" s="48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</row>
    <row r="683">
      <c r="A683" s="6"/>
      <c r="B683" s="47"/>
      <c r="C683" s="6"/>
      <c r="D683" s="6"/>
      <c r="E683" s="6"/>
      <c r="F683" s="6"/>
      <c r="G683" s="48"/>
      <c r="H683" s="48"/>
      <c r="I683" s="49"/>
      <c r="J683" s="50"/>
      <c r="K683" s="49"/>
      <c r="L683" s="49"/>
      <c r="M683" s="48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</row>
    <row r="684">
      <c r="A684" s="6"/>
      <c r="B684" s="47"/>
      <c r="C684" s="6"/>
      <c r="D684" s="6"/>
      <c r="E684" s="6"/>
      <c r="F684" s="6"/>
      <c r="G684" s="48"/>
      <c r="H684" s="48"/>
      <c r="I684" s="49"/>
      <c r="J684" s="50"/>
      <c r="K684" s="49"/>
      <c r="L684" s="49"/>
      <c r="M684" s="48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</row>
    <row r="685">
      <c r="A685" s="6"/>
      <c r="B685" s="47"/>
      <c r="C685" s="6"/>
      <c r="D685" s="6"/>
      <c r="E685" s="6"/>
      <c r="F685" s="6"/>
      <c r="G685" s="48"/>
      <c r="H685" s="48"/>
      <c r="I685" s="49"/>
      <c r="J685" s="50"/>
      <c r="K685" s="49"/>
      <c r="L685" s="49"/>
      <c r="M685" s="48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</row>
    <row r="686">
      <c r="A686" s="6"/>
      <c r="B686" s="47"/>
      <c r="C686" s="6"/>
      <c r="D686" s="6"/>
      <c r="E686" s="6"/>
      <c r="F686" s="6"/>
      <c r="G686" s="48"/>
      <c r="H686" s="48"/>
      <c r="I686" s="49"/>
      <c r="J686" s="50"/>
      <c r="K686" s="49"/>
      <c r="L686" s="49"/>
      <c r="M686" s="48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</row>
    <row r="687">
      <c r="A687" s="6"/>
      <c r="B687" s="47"/>
      <c r="C687" s="6"/>
      <c r="D687" s="6"/>
      <c r="E687" s="6"/>
      <c r="F687" s="6"/>
      <c r="G687" s="48"/>
      <c r="H687" s="48"/>
      <c r="I687" s="49"/>
      <c r="J687" s="50"/>
      <c r="K687" s="49"/>
      <c r="L687" s="49"/>
      <c r="M687" s="48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</row>
    <row r="688">
      <c r="A688" s="6"/>
      <c r="B688" s="47"/>
      <c r="C688" s="6"/>
      <c r="D688" s="6"/>
      <c r="E688" s="6"/>
      <c r="F688" s="6"/>
      <c r="G688" s="48"/>
      <c r="H688" s="48"/>
      <c r="I688" s="49"/>
      <c r="J688" s="50"/>
      <c r="K688" s="49"/>
      <c r="L688" s="49"/>
      <c r="M688" s="48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</row>
    <row r="689">
      <c r="A689" s="6"/>
      <c r="B689" s="47"/>
      <c r="C689" s="6"/>
      <c r="D689" s="6"/>
      <c r="E689" s="6"/>
      <c r="F689" s="6"/>
      <c r="G689" s="48"/>
      <c r="H689" s="48"/>
      <c r="I689" s="49"/>
      <c r="J689" s="50"/>
      <c r="K689" s="49"/>
      <c r="L689" s="49"/>
      <c r="M689" s="48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</row>
    <row r="690">
      <c r="A690" s="6"/>
      <c r="B690" s="47"/>
      <c r="C690" s="6"/>
      <c r="D690" s="6"/>
      <c r="E690" s="6"/>
      <c r="F690" s="6"/>
      <c r="G690" s="48"/>
      <c r="H690" s="48"/>
      <c r="I690" s="49"/>
      <c r="J690" s="50"/>
      <c r="K690" s="49"/>
      <c r="L690" s="49"/>
      <c r="M690" s="48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</row>
    <row r="691">
      <c r="A691" s="6"/>
      <c r="B691" s="47"/>
      <c r="C691" s="6"/>
      <c r="D691" s="6"/>
      <c r="E691" s="6"/>
      <c r="F691" s="6"/>
      <c r="G691" s="48"/>
      <c r="H691" s="48"/>
      <c r="I691" s="49"/>
      <c r="J691" s="50"/>
      <c r="K691" s="49"/>
      <c r="L691" s="49"/>
      <c r="M691" s="48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</row>
    <row r="692">
      <c r="A692" s="6"/>
      <c r="B692" s="47"/>
      <c r="C692" s="6"/>
      <c r="D692" s="6"/>
      <c r="E692" s="6"/>
      <c r="F692" s="6"/>
      <c r="G692" s="48"/>
      <c r="H692" s="48"/>
      <c r="I692" s="49"/>
      <c r="J692" s="50"/>
      <c r="K692" s="49"/>
      <c r="L692" s="49"/>
      <c r="M692" s="48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</row>
    <row r="693">
      <c r="A693" s="6"/>
      <c r="B693" s="47"/>
      <c r="C693" s="6"/>
      <c r="D693" s="6"/>
      <c r="E693" s="6"/>
      <c r="F693" s="6"/>
      <c r="G693" s="48"/>
      <c r="H693" s="48"/>
      <c r="I693" s="49"/>
      <c r="J693" s="50"/>
      <c r="K693" s="49"/>
      <c r="L693" s="49"/>
      <c r="M693" s="48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</row>
    <row r="694">
      <c r="A694" s="6"/>
      <c r="B694" s="47"/>
      <c r="C694" s="6"/>
      <c r="D694" s="6"/>
      <c r="E694" s="6"/>
      <c r="F694" s="6"/>
      <c r="G694" s="48"/>
      <c r="H694" s="48"/>
      <c r="I694" s="49"/>
      <c r="J694" s="50"/>
      <c r="K694" s="49"/>
      <c r="L694" s="49"/>
      <c r="M694" s="48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</row>
    <row r="695">
      <c r="A695" s="6"/>
      <c r="B695" s="47"/>
      <c r="C695" s="6"/>
      <c r="D695" s="6"/>
      <c r="E695" s="6"/>
      <c r="F695" s="6"/>
      <c r="G695" s="48"/>
      <c r="H695" s="48"/>
      <c r="I695" s="49"/>
      <c r="J695" s="50"/>
      <c r="K695" s="49"/>
      <c r="L695" s="49"/>
      <c r="M695" s="48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</row>
    <row r="696">
      <c r="A696" s="6"/>
      <c r="B696" s="47"/>
      <c r="C696" s="6"/>
      <c r="D696" s="6"/>
      <c r="E696" s="6"/>
      <c r="F696" s="6"/>
      <c r="G696" s="48"/>
      <c r="H696" s="48"/>
      <c r="I696" s="49"/>
      <c r="J696" s="50"/>
      <c r="K696" s="49"/>
      <c r="L696" s="49"/>
      <c r="M696" s="48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</row>
    <row r="697">
      <c r="A697" s="6"/>
      <c r="B697" s="47"/>
      <c r="C697" s="6"/>
      <c r="D697" s="6"/>
      <c r="E697" s="6"/>
      <c r="F697" s="6"/>
      <c r="G697" s="48"/>
      <c r="H697" s="48"/>
      <c r="I697" s="49"/>
      <c r="J697" s="50"/>
      <c r="K697" s="49"/>
      <c r="L697" s="49"/>
      <c r="M697" s="48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</row>
    <row r="698">
      <c r="A698" s="6"/>
      <c r="B698" s="47"/>
      <c r="C698" s="6"/>
      <c r="D698" s="6"/>
      <c r="E698" s="6"/>
      <c r="F698" s="6"/>
      <c r="G698" s="48"/>
      <c r="H698" s="48"/>
      <c r="I698" s="49"/>
      <c r="J698" s="50"/>
      <c r="K698" s="49"/>
      <c r="L698" s="49"/>
      <c r="M698" s="48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</row>
    <row r="699">
      <c r="A699" s="6"/>
      <c r="B699" s="47"/>
      <c r="C699" s="6"/>
      <c r="D699" s="6"/>
      <c r="E699" s="6"/>
      <c r="F699" s="6"/>
      <c r="G699" s="48"/>
      <c r="H699" s="48"/>
      <c r="I699" s="49"/>
      <c r="J699" s="50"/>
      <c r="K699" s="49"/>
      <c r="L699" s="49"/>
      <c r="M699" s="48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</row>
    <row r="700">
      <c r="A700" s="6"/>
      <c r="B700" s="47"/>
      <c r="C700" s="6"/>
      <c r="D700" s="6"/>
      <c r="E700" s="6"/>
      <c r="F700" s="6"/>
      <c r="G700" s="48"/>
      <c r="H700" s="48"/>
      <c r="I700" s="49"/>
      <c r="J700" s="50"/>
      <c r="K700" s="49"/>
      <c r="L700" s="49"/>
      <c r="M700" s="48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</row>
    <row r="701">
      <c r="A701" s="6"/>
      <c r="B701" s="47"/>
      <c r="C701" s="6"/>
      <c r="D701" s="6"/>
      <c r="E701" s="6"/>
      <c r="F701" s="6"/>
      <c r="G701" s="48"/>
      <c r="H701" s="48"/>
      <c r="I701" s="49"/>
      <c r="J701" s="50"/>
      <c r="K701" s="49"/>
      <c r="L701" s="49"/>
      <c r="M701" s="48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</row>
    <row r="702">
      <c r="A702" s="6"/>
      <c r="B702" s="47"/>
      <c r="C702" s="6"/>
      <c r="D702" s="6"/>
      <c r="E702" s="6"/>
      <c r="F702" s="6"/>
      <c r="G702" s="48"/>
      <c r="H702" s="48"/>
      <c r="I702" s="49"/>
      <c r="J702" s="50"/>
      <c r="K702" s="49"/>
      <c r="L702" s="49"/>
      <c r="M702" s="48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</row>
    <row r="703">
      <c r="A703" s="6"/>
      <c r="B703" s="47"/>
      <c r="C703" s="6"/>
      <c r="D703" s="6"/>
      <c r="E703" s="6"/>
      <c r="F703" s="6"/>
      <c r="G703" s="48"/>
      <c r="H703" s="48"/>
      <c r="I703" s="49"/>
      <c r="J703" s="50"/>
      <c r="K703" s="49"/>
      <c r="L703" s="49"/>
      <c r="M703" s="48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</row>
    <row r="704">
      <c r="A704" s="6"/>
      <c r="B704" s="47"/>
      <c r="C704" s="6"/>
      <c r="D704" s="6"/>
      <c r="E704" s="6"/>
      <c r="F704" s="6"/>
      <c r="G704" s="48"/>
      <c r="H704" s="48"/>
      <c r="I704" s="49"/>
      <c r="J704" s="50"/>
      <c r="K704" s="49"/>
      <c r="L704" s="49"/>
      <c r="M704" s="48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</row>
    <row r="705">
      <c r="A705" s="6"/>
      <c r="B705" s="47"/>
      <c r="C705" s="6"/>
      <c r="D705" s="6"/>
      <c r="E705" s="6"/>
      <c r="F705" s="6"/>
      <c r="G705" s="48"/>
      <c r="H705" s="48"/>
      <c r="I705" s="49"/>
      <c r="J705" s="50"/>
      <c r="K705" s="49"/>
      <c r="L705" s="49"/>
      <c r="M705" s="48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</row>
    <row r="706">
      <c r="A706" s="6"/>
      <c r="B706" s="47"/>
      <c r="C706" s="6"/>
      <c r="D706" s="6"/>
      <c r="E706" s="6"/>
      <c r="F706" s="6"/>
      <c r="G706" s="48"/>
      <c r="H706" s="48"/>
      <c r="I706" s="49"/>
      <c r="J706" s="50"/>
      <c r="K706" s="49"/>
      <c r="L706" s="49"/>
      <c r="M706" s="48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</row>
    <row r="707">
      <c r="A707" s="6"/>
      <c r="B707" s="47"/>
      <c r="C707" s="6"/>
      <c r="D707" s="6"/>
      <c r="E707" s="6"/>
      <c r="F707" s="6"/>
      <c r="G707" s="48"/>
      <c r="H707" s="48"/>
      <c r="I707" s="49"/>
      <c r="J707" s="50"/>
      <c r="K707" s="49"/>
      <c r="L707" s="49"/>
      <c r="M707" s="48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</row>
    <row r="708">
      <c r="A708" s="6"/>
      <c r="B708" s="47"/>
      <c r="C708" s="6"/>
      <c r="D708" s="6"/>
      <c r="E708" s="6"/>
      <c r="F708" s="6"/>
      <c r="G708" s="48"/>
      <c r="H708" s="48"/>
      <c r="I708" s="49"/>
      <c r="J708" s="50"/>
      <c r="K708" s="49"/>
      <c r="L708" s="49"/>
      <c r="M708" s="48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</row>
    <row r="709">
      <c r="A709" s="6"/>
      <c r="B709" s="47"/>
      <c r="C709" s="6"/>
      <c r="D709" s="6"/>
      <c r="E709" s="6"/>
      <c r="F709" s="6"/>
      <c r="G709" s="48"/>
      <c r="H709" s="48"/>
      <c r="I709" s="49"/>
      <c r="J709" s="50"/>
      <c r="K709" s="49"/>
      <c r="L709" s="49"/>
      <c r="M709" s="48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</row>
    <row r="710">
      <c r="A710" s="6"/>
      <c r="B710" s="47"/>
      <c r="C710" s="6"/>
      <c r="D710" s="6"/>
      <c r="E710" s="6"/>
      <c r="F710" s="6"/>
      <c r="G710" s="48"/>
      <c r="H710" s="48"/>
      <c r="I710" s="49"/>
      <c r="J710" s="50"/>
      <c r="K710" s="49"/>
      <c r="L710" s="49"/>
      <c r="M710" s="48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</row>
    <row r="711">
      <c r="A711" s="6"/>
      <c r="B711" s="47"/>
      <c r="C711" s="6"/>
      <c r="D711" s="6"/>
      <c r="E711" s="6"/>
      <c r="F711" s="6"/>
      <c r="G711" s="48"/>
      <c r="H711" s="48"/>
      <c r="I711" s="49"/>
      <c r="J711" s="50"/>
      <c r="K711" s="49"/>
      <c r="L711" s="49"/>
      <c r="M711" s="48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</row>
    <row r="712">
      <c r="A712" s="6"/>
      <c r="B712" s="47"/>
      <c r="C712" s="6"/>
      <c r="D712" s="6"/>
      <c r="E712" s="6"/>
      <c r="F712" s="6"/>
      <c r="G712" s="48"/>
      <c r="H712" s="48"/>
      <c r="I712" s="49"/>
      <c r="J712" s="50"/>
      <c r="K712" s="49"/>
      <c r="L712" s="49"/>
      <c r="M712" s="48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</row>
    <row r="713">
      <c r="A713" s="6"/>
      <c r="B713" s="47"/>
      <c r="C713" s="6"/>
      <c r="D713" s="6"/>
      <c r="E713" s="6"/>
      <c r="F713" s="6"/>
      <c r="G713" s="48"/>
      <c r="H713" s="48"/>
      <c r="I713" s="49"/>
      <c r="J713" s="50"/>
      <c r="K713" s="49"/>
      <c r="L713" s="49"/>
      <c r="M713" s="48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</row>
    <row r="714">
      <c r="A714" s="6"/>
      <c r="B714" s="47"/>
      <c r="C714" s="6"/>
      <c r="D714" s="6"/>
      <c r="E714" s="6"/>
      <c r="F714" s="6"/>
      <c r="G714" s="48"/>
      <c r="H714" s="48"/>
      <c r="I714" s="49"/>
      <c r="J714" s="50"/>
      <c r="K714" s="49"/>
      <c r="L714" s="49"/>
      <c r="M714" s="48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</row>
    <row r="715">
      <c r="A715" s="6"/>
      <c r="B715" s="47"/>
      <c r="C715" s="6"/>
      <c r="D715" s="6"/>
      <c r="E715" s="6"/>
      <c r="F715" s="6"/>
      <c r="G715" s="48"/>
      <c r="H715" s="48"/>
      <c r="I715" s="49"/>
      <c r="J715" s="50"/>
      <c r="K715" s="49"/>
      <c r="L715" s="49"/>
      <c r="M715" s="48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</row>
    <row r="716">
      <c r="A716" s="6"/>
      <c r="B716" s="47"/>
      <c r="C716" s="6"/>
      <c r="D716" s="6"/>
      <c r="E716" s="6"/>
      <c r="F716" s="6"/>
      <c r="G716" s="48"/>
      <c r="H716" s="48"/>
      <c r="I716" s="49"/>
      <c r="J716" s="50"/>
      <c r="K716" s="49"/>
      <c r="L716" s="49"/>
      <c r="M716" s="48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</row>
    <row r="717">
      <c r="A717" s="6"/>
      <c r="B717" s="47"/>
      <c r="C717" s="6"/>
      <c r="D717" s="6"/>
      <c r="E717" s="6"/>
      <c r="F717" s="6"/>
      <c r="G717" s="48"/>
      <c r="H717" s="48"/>
      <c r="I717" s="49"/>
      <c r="J717" s="50"/>
      <c r="K717" s="49"/>
      <c r="L717" s="49"/>
      <c r="M717" s="48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</row>
    <row r="718">
      <c r="A718" s="6"/>
      <c r="B718" s="47"/>
      <c r="C718" s="6"/>
      <c r="D718" s="6"/>
      <c r="E718" s="6"/>
      <c r="F718" s="6"/>
      <c r="G718" s="48"/>
      <c r="H718" s="48"/>
      <c r="I718" s="49"/>
      <c r="J718" s="50"/>
      <c r="K718" s="49"/>
      <c r="L718" s="49"/>
      <c r="M718" s="48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</row>
    <row r="719">
      <c r="A719" s="6"/>
      <c r="B719" s="47"/>
      <c r="C719" s="6"/>
      <c r="D719" s="6"/>
      <c r="E719" s="6"/>
      <c r="F719" s="6"/>
      <c r="G719" s="48"/>
      <c r="H719" s="48"/>
      <c r="I719" s="49"/>
      <c r="J719" s="50"/>
      <c r="K719" s="49"/>
      <c r="L719" s="49"/>
      <c r="M719" s="48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</row>
    <row r="720">
      <c r="A720" s="6"/>
      <c r="B720" s="47"/>
      <c r="C720" s="6"/>
      <c r="D720" s="6"/>
      <c r="E720" s="6"/>
      <c r="F720" s="6"/>
      <c r="G720" s="48"/>
      <c r="H720" s="48"/>
      <c r="I720" s="49"/>
      <c r="J720" s="50"/>
      <c r="K720" s="49"/>
      <c r="L720" s="49"/>
      <c r="M720" s="48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</row>
    <row r="721">
      <c r="A721" s="6"/>
      <c r="B721" s="47"/>
      <c r="C721" s="6"/>
      <c r="D721" s="6"/>
      <c r="E721" s="6"/>
      <c r="F721" s="6"/>
      <c r="G721" s="48"/>
      <c r="H721" s="48"/>
      <c r="I721" s="49"/>
      <c r="J721" s="50"/>
      <c r="K721" s="49"/>
      <c r="L721" s="49"/>
      <c r="M721" s="48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</row>
    <row r="722">
      <c r="A722" s="6"/>
      <c r="B722" s="47"/>
      <c r="C722" s="6"/>
      <c r="D722" s="6"/>
      <c r="E722" s="6"/>
      <c r="F722" s="6"/>
      <c r="G722" s="48"/>
      <c r="H722" s="48"/>
      <c r="I722" s="49"/>
      <c r="J722" s="50"/>
      <c r="K722" s="49"/>
      <c r="L722" s="49"/>
      <c r="M722" s="48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</row>
    <row r="723">
      <c r="A723" s="6"/>
      <c r="B723" s="47"/>
      <c r="C723" s="6"/>
      <c r="D723" s="6"/>
      <c r="E723" s="6"/>
      <c r="F723" s="6"/>
      <c r="G723" s="48"/>
      <c r="H723" s="48"/>
      <c r="I723" s="49"/>
      <c r="J723" s="50"/>
      <c r="K723" s="49"/>
      <c r="L723" s="49"/>
      <c r="M723" s="48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</row>
    <row r="724">
      <c r="A724" s="6"/>
      <c r="B724" s="47"/>
      <c r="C724" s="6"/>
      <c r="D724" s="6"/>
      <c r="E724" s="6"/>
      <c r="F724" s="6"/>
      <c r="G724" s="48"/>
      <c r="H724" s="48"/>
      <c r="I724" s="49"/>
      <c r="J724" s="50"/>
      <c r="K724" s="49"/>
      <c r="L724" s="49"/>
      <c r="M724" s="48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</row>
    <row r="725">
      <c r="A725" s="6"/>
      <c r="B725" s="47"/>
      <c r="C725" s="6"/>
      <c r="D725" s="6"/>
      <c r="E725" s="6"/>
      <c r="F725" s="6"/>
      <c r="G725" s="48"/>
      <c r="H725" s="48"/>
      <c r="I725" s="49"/>
      <c r="J725" s="50"/>
      <c r="K725" s="49"/>
      <c r="L725" s="49"/>
      <c r="M725" s="48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</row>
    <row r="726">
      <c r="A726" s="6"/>
      <c r="B726" s="47"/>
      <c r="C726" s="6"/>
      <c r="D726" s="6"/>
      <c r="E726" s="6"/>
      <c r="F726" s="6"/>
      <c r="G726" s="48"/>
      <c r="H726" s="48"/>
      <c r="I726" s="49"/>
      <c r="J726" s="50"/>
      <c r="K726" s="49"/>
      <c r="L726" s="49"/>
      <c r="M726" s="48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</row>
    <row r="727">
      <c r="A727" s="6"/>
      <c r="B727" s="47"/>
      <c r="C727" s="6"/>
      <c r="D727" s="6"/>
      <c r="E727" s="6"/>
      <c r="F727" s="6"/>
      <c r="G727" s="48"/>
      <c r="H727" s="48"/>
      <c r="I727" s="49"/>
      <c r="J727" s="50"/>
      <c r="K727" s="49"/>
      <c r="L727" s="49"/>
      <c r="M727" s="48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</row>
    <row r="728">
      <c r="A728" s="6"/>
      <c r="B728" s="47"/>
      <c r="C728" s="6"/>
      <c r="D728" s="6"/>
      <c r="E728" s="6"/>
      <c r="F728" s="6"/>
      <c r="G728" s="48"/>
      <c r="H728" s="48"/>
      <c r="I728" s="49"/>
      <c r="J728" s="50"/>
      <c r="K728" s="49"/>
      <c r="L728" s="49"/>
      <c r="M728" s="48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</row>
    <row r="729">
      <c r="A729" s="6"/>
      <c r="B729" s="47"/>
      <c r="C729" s="6"/>
      <c r="D729" s="6"/>
      <c r="E729" s="6"/>
      <c r="F729" s="6"/>
      <c r="G729" s="48"/>
      <c r="H729" s="48"/>
      <c r="I729" s="49"/>
      <c r="J729" s="50"/>
      <c r="K729" s="49"/>
      <c r="L729" s="49"/>
      <c r="M729" s="48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</row>
    <row r="730">
      <c r="A730" s="6"/>
      <c r="B730" s="47"/>
      <c r="C730" s="6"/>
      <c r="D730" s="6"/>
      <c r="E730" s="6"/>
      <c r="F730" s="6"/>
      <c r="G730" s="48"/>
      <c r="H730" s="48"/>
      <c r="I730" s="49"/>
      <c r="J730" s="50"/>
      <c r="K730" s="49"/>
      <c r="L730" s="49"/>
      <c r="M730" s="48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</row>
    <row r="731">
      <c r="A731" s="6"/>
      <c r="B731" s="47"/>
      <c r="C731" s="6"/>
      <c r="D731" s="6"/>
      <c r="E731" s="6"/>
      <c r="F731" s="6"/>
      <c r="G731" s="48"/>
      <c r="H731" s="48"/>
      <c r="I731" s="49"/>
      <c r="J731" s="50"/>
      <c r="K731" s="49"/>
      <c r="L731" s="49"/>
      <c r="M731" s="48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</row>
    <row r="732">
      <c r="A732" s="6"/>
      <c r="B732" s="47"/>
      <c r="C732" s="6"/>
      <c r="D732" s="6"/>
      <c r="E732" s="6"/>
      <c r="F732" s="6"/>
      <c r="G732" s="48"/>
      <c r="H732" s="48"/>
      <c r="I732" s="49"/>
      <c r="J732" s="50"/>
      <c r="K732" s="49"/>
      <c r="L732" s="49"/>
      <c r="M732" s="48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</row>
    <row r="733">
      <c r="A733" s="6"/>
      <c r="B733" s="47"/>
      <c r="C733" s="6"/>
      <c r="D733" s="6"/>
      <c r="E733" s="6"/>
      <c r="F733" s="6"/>
      <c r="G733" s="48"/>
      <c r="H733" s="48"/>
      <c r="I733" s="49"/>
      <c r="J733" s="50"/>
      <c r="K733" s="49"/>
      <c r="L733" s="49"/>
      <c r="M733" s="48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</row>
    <row r="734">
      <c r="A734" s="6"/>
      <c r="B734" s="47"/>
      <c r="C734" s="6"/>
      <c r="D734" s="6"/>
      <c r="E734" s="6"/>
      <c r="F734" s="6"/>
      <c r="G734" s="48"/>
      <c r="H734" s="48"/>
      <c r="I734" s="49"/>
      <c r="J734" s="50"/>
      <c r="K734" s="49"/>
      <c r="L734" s="49"/>
      <c r="M734" s="48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</row>
    <row r="735">
      <c r="A735" s="6"/>
      <c r="B735" s="47"/>
      <c r="C735" s="6"/>
      <c r="D735" s="6"/>
      <c r="E735" s="6"/>
      <c r="F735" s="6"/>
      <c r="G735" s="48"/>
      <c r="H735" s="48"/>
      <c r="I735" s="49"/>
      <c r="J735" s="50"/>
      <c r="K735" s="49"/>
      <c r="L735" s="49"/>
      <c r="M735" s="48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</row>
    <row r="736">
      <c r="A736" s="6"/>
      <c r="B736" s="47"/>
      <c r="C736" s="6"/>
      <c r="D736" s="6"/>
      <c r="E736" s="6"/>
      <c r="F736" s="6"/>
      <c r="G736" s="48"/>
      <c r="H736" s="48"/>
      <c r="I736" s="49"/>
      <c r="J736" s="50"/>
      <c r="K736" s="49"/>
      <c r="L736" s="49"/>
      <c r="M736" s="48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</row>
    <row r="737">
      <c r="A737" s="6"/>
      <c r="B737" s="47"/>
      <c r="C737" s="6"/>
      <c r="D737" s="6"/>
      <c r="E737" s="6"/>
      <c r="F737" s="6"/>
      <c r="G737" s="48"/>
      <c r="H737" s="48"/>
      <c r="I737" s="49"/>
      <c r="J737" s="50"/>
      <c r="K737" s="49"/>
      <c r="L737" s="49"/>
      <c r="M737" s="48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</row>
    <row r="738">
      <c r="A738" s="6"/>
      <c r="B738" s="47"/>
      <c r="C738" s="6"/>
      <c r="D738" s="6"/>
      <c r="E738" s="6"/>
      <c r="F738" s="6"/>
      <c r="G738" s="48"/>
      <c r="H738" s="48"/>
      <c r="I738" s="49"/>
      <c r="J738" s="50"/>
      <c r="K738" s="49"/>
      <c r="L738" s="49"/>
      <c r="M738" s="48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</row>
    <row r="739">
      <c r="A739" s="6"/>
      <c r="B739" s="47"/>
      <c r="C739" s="6"/>
      <c r="D739" s="6"/>
      <c r="E739" s="6"/>
      <c r="F739" s="6"/>
      <c r="G739" s="48"/>
      <c r="H739" s="48"/>
      <c r="I739" s="49"/>
      <c r="J739" s="50"/>
      <c r="K739" s="49"/>
      <c r="L739" s="49"/>
      <c r="M739" s="48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</row>
    <row r="740">
      <c r="A740" s="6"/>
      <c r="B740" s="47"/>
      <c r="C740" s="6"/>
      <c r="D740" s="6"/>
      <c r="E740" s="6"/>
      <c r="F740" s="6"/>
      <c r="G740" s="48"/>
      <c r="H740" s="48"/>
      <c r="I740" s="49"/>
      <c r="J740" s="50"/>
      <c r="K740" s="49"/>
      <c r="L740" s="49"/>
      <c r="M740" s="48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</row>
    <row r="741">
      <c r="A741" s="6"/>
      <c r="B741" s="47"/>
      <c r="C741" s="6"/>
      <c r="D741" s="6"/>
      <c r="E741" s="6"/>
      <c r="F741" s="6"/>
      <c r="G741" s="48"/>
      <c r="H741" s="48"/>
      <c r="I741" s="49"/>
      <c r="J741" s="50"/>
      <c r="K741" s="49"/>
      <c r="L741" s="49"/>
      <c r="M741" s="48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</row>
    <row r="742">
      <c r="A742" s="6"/>
      <c r="B742" s="47"/>
      <c r="C742" s="6"/>
      <c r="D742" s="6"/>
      <c r="E742" s="6"/>
      <c r="F742" s="6"/>
      <c r="G742" s="48"/>
      <c r="H742" s="48"/>
      <c r="I742" s="49"/>
      <c r="J742" s="50"/>
      <c r="K742" s="49"/>
      <c r="L742" s="49"/>
      <c r="M742" s="48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</row>
    <row r="743">
      <c r="A743" s="6"/>
      <c r="B743" s="47"/>
      <c r="C743" s="6"/>
      <c r="D743" s="6"/>
      <c r="E743" s="6"/>
      <c r="F743" s="6"/>
      <c r="G743" s="48"/>
      <c r="H743" s="48"/>
      <c r="I743" s="49"/>
      <c r="J743" s="50"/>
      <c r="K743" s="49"/>
      <c r="L743" s="49"/>
      <c r="M743" s="48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</row>
    <row r="744">
      <c r="A744" s="6"/>
      <c r="B744" s="47"/>
      <c r="C744" s="6"/>
      <c r="D744" s="6"/>
      <c r="E744" s="6"/>
      <c r="F744" s="6"/>
      <c r="G744" s="48"/>
      <c r="H744" s="48"/>
      <c r="I744" s="49"/>
      <c r="J744" s="50"/>
      <c r="K744" s="49"/>
      <c r="L744" s="49"/>
      <c r="M744" s="48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</row>
    <row r="745">
      <c r="A745" s="6"/>
      <c r="B745" s="47"/>
      <c r="C745" s="6"/>
      <c r="D745" s="6"/>
      <c r="E745" s="6"/>
      <c r="F745" s="6"/>
      <c r="G745" s="48"/>
      <c r="H745" s="48"/>
      <c r="I745" s="49"/>
      <c r="J745" s="50"/>
      <c r="K745" s="49"/>
      <c r="L745" s="49"/>
      <c r="M745" s="48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</row>
    <row r="746">
      <c r="A746" s="6"/>
      <c r="B746" s="47"/>
      <c r="C746" s="6"/>
      <c r="D746" s="6"/>
      <c r="E746" s="6"/>
      <c r="F746" s="6"/>
      <c r="G746" s="48"/>
      <c r="H746" s="48"/>
      <c r="I746" s="49"/>
      <c r="J746" s="50"/>
      <c r="K746" s="49"/>
      <c r="L746" s="49"/>
      <c r="M746" s="48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</row>
    <row r="747">
      <c r="A747" s="6"/>
      <c r="B747" s="47"/>
      <c r="C747" s="6"/>
      <c r="D747" s="6"/>
      <c r="E747" s="6"/>
      <c r="F747" s="6"/>
      <c r="G747" s="48"/>
      <c r="H747" s="48"/>
      <c r="I747" s="49"/>
      <c r="J747" s="50"/>
      <c r="K747" s="49"/>
      <c r="L747" s="49"/>
      <c r="M747" s="48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</row>
    <row r="748">
      <c r="A748" s="6"/>
      <c r="B748" s="47"/>
      <c r="C748" s="6"/>
      <c r="D748" s="6"/>
      <c r="E748" s="6"/>
      <c r="F748" s="6"/>
      <c r="G748" s="48"/>
      <c r="H748" s="48"/>
      <c r="I748" s="49"/>
      <c r="J748" s="50"/>
      <c r="K748" s="49"/>
      <c r="L748" s="49"/>
      <c r="M748" s="48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</row>
    <row r="749">
      <c r="A749" s="6"/>
      <c r="B749" s="47"/>
      <c r="C749" s="6"/>
      <c r="D749" s="6"/>
      <c r="E749" s="6"/>
      <c r="F749" s="6"/>
      <c r="G749" s="48"/>
      <c r="H749" s="48"/>
      <c r="I749" s="49"/>
      <c r="J749" s="50"/>
      <c r="K749" s="49"/>
      <c r="L749" s="49"/>
      <c r="M749" s="48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</row>
    <row r="750">
      <c r="A750" s="6"/>
      <c r="B750" s="47"/>
      <c r="C750" s="6"/>
      <c r="D750" s="6"/>
      <c r="E750" s="6"/>
      <c r="F750" s="6"/>
      <c r="G750" s="48"/>
      <c r="H750" s="48"/>
      <c r="I750" s="49"/>
      <c r="J750" s="50"/>
      <c r="K750" s="49"/>
      <c r="L750" s="49"/>
      <c r="M750" s="48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</row>
    <row r="751">
      <c r="A751" s="6"/>
      <c r="B751" s="47"/>
      <c r="C751" s="6"/>
      <c r="D751" s="6"/>
      <c r="E751" s="6"/>
      <c r="F751" s="6"/>
      <c r="G751" s="48"/>
      <c r="H751" s="48"/>
      <c r="I751" s="49"/>
      <c r="J751" s="50"/>
      <c r="K751" s="49"/>
      <c r="L751" s="49"/>
      <c r="M751" s="48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</row>
    <row r="752">
      <c r="A752" s="6"/>
      <c r="B752" s="47"/>
      <c r="C752" s="6"/>
      <c r="D752" s="6"/>
      <c r="E752" s="6"/>
      <c r="F752" s="6"/>
      <c r="G752" s="48"/>
      <c r="H752" s="48"/>
      <c r="I752" s="49"/>
      <c r="J752" s="50"/>
      <c r="K752" s="49"/>
      <c r="L752" s="49"/>
      <c r="M752" s="48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</row>
    <row r="753">
      <c r="A753" s="6"/>
      <c r="B753" s="47"/>
      <c r="C753" s="6"/>
      <c r="D753" s="6"/>
      <c r="E753" s="6"/>
      <c r="F753" s="6"/>
      <c r="G753" s="48"/>
      <c r="H753" s="48"/>
      <c r="I753" s="49"/>
      <c r="J753" s="50"/>
      <c r="K753" s="49"/>
      <c r="L753" s="49"/>
      <c r="M753" s="48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</row>
    <row r="754">
      <c r="A754" s="6"/>
      <c r="B754" s="47"/>
      <c r="C754" s="6"/>
      <c r="D754" s="6"/>
      <c r="E754" s="6"/>
      <c r="F754" s="6"/>
      <c r="G754" s="48"/>
      <c r="H754" s="48"/>
      <c r="I754" s="49"/>
      <c r="J754" s="50"/>
      <c r="K754" s="49"/>
      <c r="L754" s="49"/>
      <c r="M754" s="48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</row>
    <row r="755">
      <c r="A755" s="6"/>
      <c r="B755" s="47"/>
      <c r="C755" s="6"/>
      <c r="D755" s="6"/>
      <c r="E755" s="6"/>
      <c r="F755" s="6"/>
      <c r="G755" s="48"/>
      <c r="H755" s="48"/>
      <c r="I755" s="49"/>
      <c r="J755" s="50"/>
      <c r="K755" s="49"/>
      <c r="L755" s="49"/>
      <c r="M755" s="48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</row>
    <row r="756">
      <c r="A756" s="6"/>
      <c r="B756" s="47"/>
      <c r="C756" s="6"/>
      <c r="D756" s="6"/>
      <c r="E756" s="6"/>
      <c r="F756" s="6"/>
      <c r="G756" s="48"/>
      <c r="H756" s="48"/>
      <c r="I756" s="49"/>
      <c r="J756" s="50"/>
      <c r="K756" s="49"/>
      <c r="L756" s="49"/>
      <c r="M756" s="48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</row>
    <row r="757">
      <c r="A757" s="6"/>
      <c r="B757" s="47"/>
      <c r="C757" s="6"/>
      <c r="D757" s="6"/>
      <c r="E757" s="6"/>
      <c r="F757" s="6"/>
      <c r="G757" s="48"/>
      <c r="H757" s="48"/>
      <c r="I757" s="49"/>
      <c r="J757" s="50"/>
      <c r="K757" s="49"/>
      <c r="L757" s="49"/>
      <c r="M757" s="48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</row>
    <row r="758">
      <c r="A758" s="6"/>
      <c r="B758" s="47"/>
      <c r="C758" s="6"/>
      <c r="D758" s="6"/>
      <c r="E758" s="6"/>
      <c r="F758" s="6"/>
      <c r="G758" s="48"/>
      <c r="H758" s="48"/>
      <c r="I758" s="49"/>
      <c r="J758" s="50"/>
      <c r="K758" s="49"/>
      <c r="L758" s="49"/>
      <c r="M758" s="48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</row>
    <row r="759">
      <c r="A759" s="6"/>
      <c r="B759" s="47"/>
      <c r="C759" s="6"/>
      <c r="D759" s="6"/>
      <c r="E759" s="6"/>
      <c r="F759" s="6"/>
      <c r="G759" s="48"/>
      <c r="H759" s="48"/>
      <c r="I759" s="49"/>
      <c r="J759" s="50"/>
      <c r="K759" s="49"/>
      <c r="L759" s="49"/>
      <c r="M759" s="48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</row>
    <row r="760">
      <c r="A760" s="6"/>
      <c r="B760" s="47"/>
      <c r="C760" s="6"/>
      <c r="D760" s="6"/>
      <c r="E760" s="6"/>
      <c r="F760" s="6"/>
      <c r="G760" s="48"/>
      <c r="H760" s="48"/>
      <c r="I760" s="49"/>
      <c r="J760" s="50"/>
      <c r="K760" s="49"/>
      <c r="L760" s="49"/>
      <c r="M760" s="48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</row>
    <row r="761">
      <c r="A761" s="6"/>
      <c r="B761" s="47"/>
      <c r="C761" s="6"/>
      <c r="D761" s="6"/>
      <c r="E761" s="6"/>
      <c r="F761" s="6"/>
      <c r="G761" s="48"/>
      <c r="H761" s="48"/>
      <c r="I761" s="49"/>
      <c r="J761" s="50"/>
      <c r="K761" s="49"/>
      <c r="L761" s="49"/>
      <c r="M761" s="48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</row>
    <row r="762">
      <c r="A762" s="6"/>
      <c r="B762" s="47"/>
      <c r="C762" s="6"/>
      <c r="D762" s="6"/>
      <c r="E762" s="6"/>
      <c r="F762" s="6"/>
      <c r="G762" s="48"/>
      <c r="H762" s="48"/>
      <c r="I762" s="49"/>
      <c r="J762" s="50"/>
      <c r="K762" s="49"/>
      <c r="L762" s="49"/>
      <c r="M762" s="48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</row>
    <row r="763">
      <c r="A763" s="6"/>
      <c r="B763" s="47"/>
      <c r="C763" s="6"/>
      <c r="D763" s="6"/>
      <c r="E763" s="6"/>
      <c r="F763" s="6"/>
      <c r="G763" s="48"/>
      <c r="H763" s="48"/>
      <c r="I763" s="49"/>
      <c r="J763" s="50"/>
      <c r="K763" s="49"/>
      <c r="L763" s="49"/>
      <c r="M763" s="48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</row>
    <row r="764">
      <c r="A764" s="6"/>
      <c r="B764" s="47"/>
      <c r="C764" s="6"/>
      <c r="D764" s="6"/>
      <c r="E764" s="6"/>
      <c r="F764" s="6"/>
      <c r="G764" s="48"/>
      <c r="H764" s="48"/>
      <c r="I764" s="49"/>
      <c r="J764" s="50"/>
      <c r="K764" s="49"/>
      <c r="L764" s="49"/>
      <c r="M764" s="48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</row>
    <row r="765">
      <c r="A765" s="6"/>
      <c r="B765" s="47"/>
      <c r="C765" s="6"/>
      <c r="D765" s="6"/>
      <c r="E765" s="6"/>
      <c r="F765" s="6"/>
      <c r="G765" s="48"/>
      <c r="H765" s="48"/>
      <c r="I765" s="49"/>
      <c r="J765" s="50"/>
      <c r="K765" s="49"/>
      <c r="L765" s="49"/>
      <c r="M765" s="48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</row>
    <row r="766">
      <c r="A766" s="6"/>
      <c r="B766" s="47"/>
      <c r="C766" s="6"/>
      <c r="D766" s="6"/>
      <c r="E766" s="6"/>
      <c r="F766" s="6"/>
      <c r="G766" s="48"/>
      <c r="H766" s="48"/>
      <c r="I766" s="49"/>
      <c r="J766" s="50"/>
      <c r="K766" s="49"/>
      <c r="L766" s="49"/>
      <c r="M766" s="48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</row>
    <row r="767">
      <c r="A767" s="6"/>
      <c r="B767" s="47"/>
      <c r="C767" s="6"/>
      <c r="D767" s="6"/>
      <c r="E767" s="6"/>
      <c r="F767" s="6"/>
      <c r="G767" s="48"/>
      <c r="H767" s="48"/>
      <c r="I767" s="49"/>
      <c r="J767" s="50"/>
      <c r="K767" s="49"/>
      <c r="L767" s="49"/>
      <c r="M767" s="48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</row>
    <row r="768">
      <c r="A768" s="6"/>
      <c r="B768" s="47"/>
      <c r="C768" s="6"/>
      <c r="D768" s="6"/>
      <c r="E768" s="6"/>
      <c r="F768" s="6"/>
      <c r="G768" s="48"/>
      <c r="H768" s="48"/>
      <c r="I768" s="49"/>
      <c r="J768" s="50"/>
      <c r="K768" s="49"/>
      <c r="L768" s="49"/>
      <c r="M768" s="48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</row>
    <row r="769">
      <c r="A769" s="6"/>
      <c r="B769" s="47"/>
      <c r="C769" s="6"/>
      <c r="D769" s="6"/>
      <c r="E769" s="6"/>
      <c r="F769" s="6"/>
      <c r="G769" s="48"/>
      <c r="H769" s="48"/>
      <c r="I769" s="49"/>
      <c r="J769" s="50"/>
      <c r="K769" s="49"/>
      <c r="L769" s="49"/>
      <c r="M769" s="48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</row>
    <row r="770">
      <c r="A770" s="6"/>
      <c r="B770" s="47"/>
      <c r="C770" s="6"/>
      <c r="D770" s="6"/>
      <c r="E770" s="6"/>
      <c r="F770" s="6"/>
      <c r="G770" s="48"/>
      <c r="H770" s="48"/>
      <c r="I770" s="49"/>
      <c r="J770" s="50"/>
      <c r="K770" s="49"/>
      <c r="L770" s="49"/>
      <c r="M770" s="48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</row>
    <row r="771">
      <c r="A771" s="6"/>
      <c r="B771" s="47"/>
      <c r="C771" s="6"/>
      <c r="D771" s="6"/>
      <c r="E771" s="6"/>
      <c r="F771" s="6"/>
      <c r="G771" s="48"/>
      <c r="H771" s="48"/>
      <c r="I771" s="49"/>
      <c r="J771" s="50"/>
      <c r="K771" s="49"/>
      <c r="L771" s="49"/>
      <c r="M771" s="48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</row>
    <row r="772">
      <c r="A772" s="6"/>
      <c r="B772" s="47"/>
      <c r="C772" s="6"/>
      <c r="D772" s="6"/>
      <c r="E772" s="6"/>
      <c r="F772" s="6"/>
      <c r="G772" s="48"/>
      <c r="H772" s="48"/>
      <c r="I772" s="49"/>
      <c r="J772" s="50"/>
      <c r="K772" s="49"/>
      <c r="L772" s="49"/>
      <c r="M772" s="48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</row>
    <row r="773">
      <c r="A773" s="6"/>
      <c r="B773" s="47"/>
      <c r="C773" s="6"/>
      <c r="D773" s="6"/>
      <c r="E773" s="6"/>
      <c r="F773" s="6"/>
      <c r="G773" s="48"/>
      <c r="H773" s="48"/>
      <c r="I773" s="49"/>
      <c r="J773" s="50"/>
      <c r="K773" s="49"/>
      <c r="L773" s="49"/>
      <c r="M773" s="48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</row>
    <row r="774">
      <c r="A774" s="6"/>
      <c r="B774" s="47"/>
      <c r="C774" s="6"/>
      <c r="D774" s="6"/>
      <c r="E774" s="6"/>
      <c r="F774" s="6"/>
      <c r="G774" s="48"/>
      <c r="H774" s="48"/>
      <c r="I774" s="49"/>
      <c r="J774" s="50"/>
      <c r="K774" s="49"/>
      <c r="L774" s="49"/>
      <c r="M774" s="48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</row>
    <row r="775">
      <c r="A775" s="6"/>
      <c r="B775" s="47"/>
      <c r="C775" s="6"/>
      <c r="D775" s="6"/>
      <c r="E775" s="6"/>
      <c r="F775" s="6"/>
      <c r="G775" s="48"/>
      <c r="H775" s="48"/>
      <c r="I775" s="49"/>
      <c r="J775" s="50"/>
      <c r="K775" s="49"/>
      <c r="L775" s="49"/>
      <c r="M775" s="48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</row>
    <row r="776">
      <c r="A776" s="6"/>
      <c r="B776" s="47"/>
      <c r="C776" s="6"/>
      <c r="D776" s="6"/>
      <c r="E776" s="6"/>
      <c r="F776" s="6"/>
      <c r="G776" s="48"/>
      <c r="H776" s="48"/>
      <c r="I776" s="49"/>
      <c r="J776" s="50"/>
      <c r="K776" s="49"/>
      <c r="L776" s="49"/>
      <c r="M776" s="48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</row>
    <row r="777">
      <c r="A777" s="6"/>
      <c r="B777" s="47"/>
      <c r="C777" s="6"/>
      <c r="D777" s="6"/>
      <c r="E777" s="6"/>
      <c r="F777" s="6"/>
      <c r="G777" s="48"/>
      <c r="H777" s="48"/>
      <c r="I777" s="49"/>
      <c r="J777" s="50"/>
      <c r="K777" s="49"/>
      <c r="L777" s="49"/>
      <c r="M777" s="48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</row>
    <row r="778">
      <c r="A778" s="6"/>
      <c r="B778" s="47"/>
      <c r="C778" s="6"/>
      <c r="D778" s="6"/>
      <c r="E778" s="6"/>
      <c r="F778" s="6"/>
      <c r="G778" s="48"/>
      <c r="H778" s="48"/>
      <c r="I778" s="49"/>
      <c r="J778" s="50"/>
      <c r="K778" s="49"/>
      <c r="L778" s="49"/>
      <c r="M778" s="48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</row>
    <row r="779">
      <c r="A779" s="6"/>
      <c r="B779" s="47"/>
      <c r="C779" s="6"/>
      <c r="D779" s="6"/>
      <c r="E779" s="6"/>
      <c r="F779" s="6"/>
      <c r="G779" s="48"/>
      <c r="H779" s="48"/>
      <c r="I779" s="49"/>
      <c r="J779" s="50"/>
      <c r="K779" s="49"/>
      <c r="L779" s="49"/>
      <c r="M779" s="48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</row>
    <row r="780">
      <c r="A780" s="6"/>
      <c r="B780" s="47"/>
      <c r="C780" s="6"/>
      <c r="D780" s="6"/>
      <c r="E780" s="6"/>
      <c r="F780" s="6"/>
      <c r="G780" s="48"/>
      <c r="H780" s="48"/>
      <c r="I780" s="49"/>
      <c r="J780" s="50"/>
      <c r="K780" s="49"/>
      <c r="L780" s="49"/>
      <c r="M780" s="48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</row>
    <row r="781">
      <c r="A781" s="6"/>
      <c r="B781" s="47"/>
      <c r="C781" s="6"/>
      <c r="D781" s="6"/>
      <c r="E781" s="6"/>
      <c r="F781" s="6"/>
      <c r="G781" s="48"/>
      <c r="H781" s="48"/>
      <c r="I781" s="49"/>
      <c r="J781" s="50"/>
      <c r="K781" s="49"/>
      <c r="L781" s="49"/>
      <c r="M781" s="48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</row>
    <row r="782">
      <c r="A782" s="6"/>
      <c r="B782" s="47"/>
      <c r="C782" s="6"/>
      <c r="D782" s="6"/>
      <c r="E782" s="6"/>
      <c r="F782" s="6"/>
      <c r="G782" s="48"/>
      <c r="H782" s="48"/>
      <c r="I782" s="49"/>
      <c r="J782" s="50"/>
      <c r="K782" s="49"/>
      <c r="L782" s="49"/>
      <c r="M782" s="48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</row>
    <row r="783">
      <c r="A783" s="6"/>
      <c r="B783" s="47"/>
      <c r="C783" s="6"/>
      <c r="D783" s="6"/>
      <c r="E783" s="6"/>
      <c r="F783" s="6"/>
      <c r="G783" s="48"/>
      <c r="H783" s="48"/>
      <c r="I783" s="49"/>
      <c r="J783" s="50"/>
      <c r="K783" s="49"/>
      <c r="L783" s="49"/>
      <c r="M783" s="48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</row>
    <row r="784">
      <c r="A784" s="6"/>
      <c r="B784" s="47"/>
      <c r="C784" s="6"/>
      <c r="D784" s="6"/>
      <c r="E784" s="6"/>
      <c r="F784" s="6"/>
      <c r="G784" s="48"/>
      <c r="H784" s="48"/>
      <c r="I784" s="49"/>
      <c r="J784" s="50"/>
      <c r="K784" s="49"/>
      <c r="L784" s="49"/>
      <c r="M784" s="48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</row>
    <row r="785">
      <c r="A785" s="6"/>
      <c r="B785" s="47"/>
      <c r="C785" s="6"/>
      <c r="D785" s="6"/>
      <c r="E785" s="6"/>
      <c r="F785" s="6"/>
      <c r="G785" s="48"/>
      <c r="H785" s="48"/>
      <c r="I785" s="49"/>
      <c r="J785" s="50"/>
      <c r="K785" s="49"/>
      <c r="L785" s="49"/>
      <c r="M785" s="48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</row>
    <row r="786">
      <c r="A786" s="6"/>
      <c r="B786" s="47"/>
      <c r="C786" s="6"/>
      <c r="D786" s="6"/>
      <c r="E786" s="6"/>
      <c r="F786" s="6"/>
      <c r="G786" s="48"/>
      <c r="H786" s="48"/>
      <c r="I786" s="49"/>
      <c r="J786" s="50"/>
      <c r="K786" s="49"/>
      <c r="L786" s="49"/>
      <c r="M786" s="48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</row>
    <row r="787">
      <c r="A787" s="6"/>
      <c r="B787" s="47"/>
      <c r="C787" s="6"/>
      <c r="D787" s="6"/>
      <c r="E787" s="6"/>
      <c r="F787" s="6"/>
      <c r="G787" s="48"/>
      <c r="H787" s="48"/>
      <c r="I787" s="49"/>
      <c r="J787" s="50"/>
      <c r="K787" s="49"/>
      <c r="L787" s="49"/>
      <c r="M787" s="48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</row>
    <row r="788">
      <c r="A788" s="6"/>
      <c r="B788" s="47"/>
      <c r="C788" s="6"/>
      <c r="D788" s="6"/>
      <c r="E788" s="6"/>
      <c r="F788" s="6"/>
      <c r="G788" s="48"/>
      <c r="H788" s="48"/>
      <c r="I788" s="49"/>
      <c r="J788" s="50"/>
      <c r="K788" s="49"/>
      <c r="L788" s="49"/>
      <c r="M788" s="48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</row>
    <row r="789">
      <c r="A789" s="6"/>
      <c r="B789" s="47"/>
      <c r="C789" s="6"/>
      <c r="D789" s="6"/>
      <c r="E789" s="6"/>
      <c r="F789" s="6"/>
      <c r="G789" s="48"/>
      <c r="H789" s="48"/>
      <c r="I789" s="49"/>
      <c r="J789" s="50"/>
      <c r="K789" s="49"/>
      <c r="L789" s="49"/>
      <c r="M789" s="48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</row>
    <row r="790">
      <c r="A790" s="6"/>
      <c r="B790" s="47"/>
      <c r="C790" s="6"/>
      <c r="D790" s="6"/>
      <c r="E790" s="6"/>
      <c r="F790" s="6"/>
      <c r="G790" s="48"/>
      <c r="H790" s="48"/>
      <c r="I790" s="49"/>
      <c r="J790" s="50"/>
      <c r="K790" s="49"/>
      <c r="L790" s="49"/>
      <c r="M790" s="48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</row>
    <row r="791">
      <c r="A791" s="6"/>
      <c r="B791" s="47"/>
      <c r="C791" s="6"/>
      <c r="D791" s="6"/>
      <c r="E791" s="6"/>
      <c r="F791" s="6"/>
      <c r="G791" s="48"/>
      <c r="H791" s="48"/>
      <c r="I791" s="49"/>
      <c r="J791" s="50"/>
      <c r="K791" s="49"/>
      <c r="L791" s="49"/>
      <c r="M791" s="48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</row>
    <row r="792">
      <c r="A792" s="6"/>
      <c r="B792" s="47"/>
      <c r="C792" s="6"/>
      <c r="D792" s="6"/>
      <c r="E792" s="6"/>
      <c r="F792" s="6"/>
      <c r="G792" s="48"/>
      <c r="H792" s="48"/>
      <c r="I792" s="49"/>
      <c r="J792" s="50"/>
      <c r="K792" s="49"/>
      <c r="L792" s="49"/>
      <c r="M792" s="48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</row>
    <row r="793">
      <c r="A793" s="6"/>
      <c r="B793" s="47"/>
      <c r="C793" s="6"/>
      <c r="D793" s="6"/>
      <c r="E793" s="6"/>
      <c r="F793" s="6"/>
      <c r="G793" s="48"/>
      <c r="H793" s="48"/>
      <c r="I793" s="49"/>
      <c r="J793" s="50"/>
      <c r="K793" s="49"/>
      <c r="L793" s="49"/>
      <c r="M793" s="48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</row>
    <row r="794">
      <c r="A794" s="6"/>
      <c r="B794" s="47"/>
      <c r="C794" s="6"/>
      <c r="D794" s="6"/>
      <c r="E794" s="6"/>
      <c r="F794" s="6"/>
      <c r="G794" s="48"/>
      <c r="H794" s="48"/>
      <c r="I794" s="49"/>
      <c r="J794" s="50"/>
      <c r="K794" s="49"/>
      <c r="L794" s="49"/>
      <c r="M794" s="48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</row>
    <row r="795">
      <c r="A795" s="6"/>
      <c r="B795" s="47"/>
      <c r="C795" s="6"/>
      <c r="D795" s="6"/>
      <c r="E795" s="6"/>
      <c r="F795" s="6"/>
      <c r="G795" s="48"/>
      <c r="H795" s="48"/>
      <c r="I795" s="49"/>
      <c r="J795" s="50"/>
      <c r="K795" s="49"/>
      <c r="L795" s="49"/>
      <c r="M795" s="48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</row>
    <row r="796">
      <c r="A796" s="6"/>
      <c r="B796" s="47"/>
      <c r="C796" s="6"/>
      <c r="D796" s="6"/>
      <c r="E796" s="6"/>
      <c r="F796" s="6"/>
      <c r="G796" s="48"/>
      <c r="H796" s="48"/>
      <c r="I796" s="49"/>
      <c r="J796" s="50"/>
      <c r="K796" s="49"/>
      <c r="L796" s="49"/>
      <c r="M796" s="48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</row>
    <row r="797">
      <c r="A797" s="6"/>
      <c r="B797" s="47"/>
      <c r="C797" s="6"/>
      <c r="D797" s="6"/>
      <c r="E797" s="6"/>
      <c r="F797" s="6"/>
      <c r="G797" s="48"/>
      <c r="H797" s="48"/>
      <c r="I797" s="49"/>
      <c r="J797" s="50"/>
      <c r="K797" s="49"/>
      <c r="L797" s="49"/>
      <c r="M797" s="48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</row>
    <row r="798">
      <c r="A798" s="6"/>
      <c r="B798" s="47"/>
      <c r="C798" s="6"/>
      <c r="D798" s="6"/>
      <c r="E798" s="6"/>
      <c r="F798" s="6"/>
      <c r="G798" s="48"/>
      <c r="H798" s="48"/>
      <c r="I798" s="49"/>
      <c r="J798" s="50"/>
      <c r="K798" s="49"/>
      <c r="L798" s="49"/>
      <c r="M798" s="48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</row>
    <row r="799">
      <c r="A799" s="6"/>
      <c r="B799" s="47"/>
      <c r="C799" s="6"/>
      <c r="D799" s="6"/>
      <c r="E799" s="6"/>
      <c r="F799" s="6"/>
      <c r="G799" s="48"/>
      <c r="H799" s="48"/>
      <c r="I799" s="49"/>
      <c r="J799" s="50"/>
      <c r="K799" s="49"/>
      <c r="L799" s="49"/>
      <c r="M799" s="48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</row>
    <row r="800">
      <c r="A800" s="6"/>
      <c r="B800" s="47"/>
      <c r="C800" s="6"/>
      <c r="D800" s="6"/>
      <c r="E800" s="6"/>
      <c r="F800" s="6"/>
      <c r="G800" s="48"/>
      <c r="H800" s="48"/>
      <c r="I800" s="49"/>
      <c r="J800" s="50"/>
      <c r="K800" s="49"/>
      <c r="L800" s="49"/>
      <c r="M800" s="48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</row>
    <row r="801">
      <c r="A801" s="6"/>
      <c r="B801" s="47"/>
      <c r="C801" s="6"/>
      <c r="D801" s="6"/>
      <c r="E801" s="6"/>
      <c r="F801" s="6"/>
      <c r="G801" s="48"/>
      <c r="H801" s="48"/>
      <c r="I801" s="49"/>
      <c r="J801" s="50"/>
      <c r="K801" s="49"/>
      <c r="L801" s="49"/>
      <c r="M801" s="48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</row>
    <row r="802">
      <c r="A802" s="6"/>
      <c r="B802" s="47"/>
      <c r="C802" s="6"/>
      <c r="D802" s="6"/>
      <c r="E802" s="6"/>
      <c r="F802" s="6"/>
      <c r="G802" s="48"/>
      <c r="H802" s="48"/>
      <c r="I802" s="49"/>
      <c r="J802" s="50"/>
      <c r="K802" s="49"/>
      <c r="L802" s="49"/>
      <c r="M802" s="48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</row>
    <row r="803">
      <c r="A803" s="6"/>
      <c r="B803" s="47"/>
      <c r="C803" s="6"/>
      <c r="D803" s="6"/>
      <c r="E803" s="6"/>
      <c r="F803" s="6"/>
      <c r="G803" s="48"/>
      <c r="H803" s="48"/>
      <c r="I803" s="49"/>
      <c r="J803" s="50"/>
      <c r="K803" s="49"/>
      <c r="L803" s="49"/>
      <c r="M803" s="48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</row>
    <row r="804">
      <c r="A804" s="6"/>
      <c r="B804" s="47"/>
      <c r="C804" s="6"/>
      <c r="D804" s="6"/>
      <c r="E804" s="6"/>
      <c r="F804" s="6"/>
      <c r="G804" s="48"/>
      <c r="H804" s="48"/>
      <c r="I804" s="49"/>
      <c r="J804" s="50"/>
      <c r="K804" s="49"/>
      <c r="L804" s="49"/>
      <c r="M804" s="48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</row>
    <row r="805">
      <c r="A805" s="6"/>
      <c r="B805" s="47"/>
      <c r="C805" s="6"/>
      <c r="D805" s="6"/>
      <c r="E805" s="6"/>
      <c r="F805" s="6"/>
      <c r="G805" s="48"/>
      <c r="H805" s="48"/>
      <c r="I805" s="49"/>
      <c r="J805" s="50"/>
      <c r="K805" s="49"/>
      <c r="L805" s="49"/>
      <c r="M805" s="48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</row>
    <row r="806">
      <c r="A806" s="6"/>
      <c r="B806" s="47"/>
      <c r="C806" s="6"/>
      <c r="D806" s="6"/>
      <c r="E806" s="6"/>
      <c r="F806" s="6"/>
      <c r="G806" s="48"/>
      <c r="H806" s="48"/>
      <c r="I806" s="49"/>
      <c r="J806" s="50"/>
      <c r="K806" s="49"/>
      <c r="L806" s="49"/>
      <c r="M806" s="48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</row>
    <row r="807">
      <c r="A807" s="6"/>
      <c r="B807" s="47"/>
      <c r="C807" s="6"/>
      <c r="D807" s="6"/>
      <c r="E807" s="6"/>
      <c r="F807" s="6"/>
      <c r="G807" s="48"/>
      <c r="H807" s="48"/>
      <c r="I807" s="49"/>
      <c r="J807" s="50"/>
      <c r="K807" s="49"/>
      <c r="L807" s="49"/>
      <c r="M807" s="48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</row>
    <row r="808">
      <c r="A808" s="6"/>
      <c r="B808" s="47"/>
      <c r="C808" s="6"/>
      <c r="D808" s="6"/>
      <c r="E808" s="6"/>
      <c r="F808" s="6"/>
      <c r="G808" s="48"/>
      <c r="H808" s="48"/>
      <c r="I808" s="49"/>
      <c r="J808" s="50"/>
      <c r="K808" s="49"/>
      <c r="L808" s="49"/>
      <c r="M808" s="48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</row>
    <row r="809">
      <c r="A809" s="6"/>
      <c r="B809" s="47"/>
      <c r="C809" s="6"/>
      <c r="D809" s="6"/>
      <c r="E809" s="6"/>
      <c r="F809" s="6"/>
      <c r="G809" s="48"/>
      <c r="H809" s="48"/>
      <c r="I809" s="49"/>
      <c r="J809" s="50"/>
      <c r="K809" s="49"/>
      <c r="L809" s="49"/>
      <c r="M809" s="48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</row>
    <row r="810">
      <c r="A810" s="6"/>
      <c r="B810" s="47"/>
      <c r="C810" s="6"/>
      <c r="D810" s="6"/>
      <c r="E810" s="6"/>
      <c r="F810" s="6"/>
      <c r="G810" s="48"/>
      <c r="H810" s="48"/>
      <c r="I810" s="49"/>
      <c r="J810" s="50"/>
      <c r="K810" s="49"/>
      <c r="L810" s="49"/>
      <c r="M810" s="48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</row>
    <row r="811">
      <c r="A811" s="6"/>
      <c r="B811" s="47"/>
      <c r="C811" s="6"/>
      <c r="D811" s="6"/>
      <c r="E811" s="6"/>
      <c r="F811" s="6"/>
      <c r="G811" s="48"/>
      <c r="H811" s="48"/>
      <c r="I811" s="49"/>
      <c r="J811" s="50"/>
      <c r="K811" s="49"/>
      <c r="L811" s="49"/>
      <c r="M811" s="48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</row>
    <row r="812">
      <c r="A812" s="6"/>
      <c r="B812" s="47"/>
      <c r="C812" s="6"/>
      <c r="D812" s="6"/>
      <c r="E812" s="6"/>
      <c r="F812" s="6"/>
      <c r="G812" s="48"/>
      <c r="H812" s="48"/>
      <c r="I812" s="49"/>
      <c r="J812" s="50"/>
      <c r="K812" s="49"/>
      <c r="L812" s="49"/>
      <c r="M812" s="48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</row>
    <row r="813">
      <c r="A813" s="6"/>
      <c r="B813" s="47"/>
      <c r="C813" s="6"/>
      <c r="D813" s="6"/>
      <c r="E813" s="6"/>
      <c r="F813" s="6"/>
      <c r="G813" s="48"/>
      <c r="H813" s="48"/>
      <c r="I813" s="49"/>
      <c r="J813" s="50"/>
      <c r="K813" s="49"/>
      <c r="L813" s="49"/>
      <c r="M813" s="48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</row>
    <row r="814">
      <c r="A814" s="6"/>
      <c r="B814" s="47"/>
      <c r="C814" s="6"/>
      <c r="D814" s="6"/>
      <c r="E814" s="6"/>
      <c r="F814" s="6"/>
      <c r="G814" s="48"/>
      <c r="H814" s="48"/>
      <c r="I814" s="49"/>
      <c r="J814" s="50"/>
      <c r="K814" s="49"/>
      <c r="L814" s="49"/>
      <c r="M814" s="48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</row>
    <row r="815">
      <c r="A815" s="6"/>
      <c r="B815" s="47"/>
      <c r="C815" s="6"/>
      <c r="D815" s="6"/>
      <c r="E815" s="6"/>
      <c r="F815" s="6"/>
      <c r="G815" s="48"/>
      <c r="H815" s="48"/>
      <c r="I815" s="49"/>
      <c r="J815" s="50"/>
      <c r="K815" s="49"/>
      <c r="L815" s="49"/>
      <c r="M815" s="48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</row>
    <row r="816">
      <c r="A816" s="6"/>
      <c r="B816" s="47"/>
      <c r="C816" s="6"/>
      <c r="D816" s="6"/>
      <c r="E816" s="6"/>
      <c r="F816" s="6"/>
      <c r="G816" s="48"/>
      <c r="H816" s="48"/>
      <c r="I816" s="49"/>
      <c r="J816" s="50"/>
      <c r="K816" s="49"/>
      <c r="L816" s="49"/>
      <c r="M816" s="48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</row>
    <row r="817">
      <c r="A817" s="6"/>
      <c r="B817" s="47"/>
      <c r="C817" s="6"/>
      <c r="D817" s="6"/>
      <c r="E817" s="6"/>
      <c r="F817" s="6"/>
      <c r="G817" s="48"/>
      <c r="H817" s="48"/>
      <c r="I817" s="49"/>
      <c r="J817" s="50"/>
      <c r="K817" s="49"/>
      <c r="L817" s="49"/>
      <c r="M817" s="48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</row>
    <row r="818">
      <c r="A818" s="6"/>
      <c r="B818" s="47"/>
      <c r="C818" s="6"/>
      <c r="D818" s="6"/>
      <c r="E818" s="6"/>
      <c r="F818" s="6"/>
      <c r="G818" s="48"/>
      <c r="H818" s="48"/>
      <c r="I818" s="49"/>
      <c r="J818" s="50"/>
      <c r="K818" s="49"/>
      <c r="L818" s="49"/>
      <c r="M818" s="48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</row>
    <row r="819">
      <c r="A819" s="6"/>
      <c r="B819" s="47"/>
      <c r="C819" s="6"/>
      <c r="D819" s="6"/>
      <c r="E819" s="6"/>
      <c r="F819" s="6"/>
      <c r="G819" s="48"/>
      <c r="H819" s="48"/>
      <c r="I819" s="49"/>
      <c r="J819" s="50"/>
      <c r="K819" s="49"/>
      <c r="L819" s="49"/>
      <c r="M819" s="48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</row>
    <row r="820">
      <c r="A820" s="6"/>
      <c r="B820" s="47"/>
      <c r="C820" s="6"/>
      <c r="D820" s="6"/>
      <c r="E820" s="6"/>
      <c r="F820" s="6"/>
      <c r="G820" s="48"/>
      <c r="H820" s="48"/>
      <c r="I820" s="49"/>
      <c r="J820" s="50"/>
      <c r="K820" s="49"/>
      <c r="L820" s="49"/>
      <c r="M820" s="48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</row>
    <row r="821">
      <c r="A821" s="6"/>
      <c r="B821" s="47"/>
      <c r="C821" s="6"/>
      <c r="D821" s="6"/>
      <c r="E821" s="6"/>
      <c r="F821" s="6"/>
      <c r="G821" s="48"/>
      <c r="H821" s="48"/>
      <c r="I821" s="49"/>
      <c r="J821" s="50"/>
      <c r="K821" s="49"/>
      <c r="L821" s="49"/>
      <c r="M821" s="48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</row>
    <row r="822">
      <c r="A822" s="6"/>
      <c r="B822" s="47"/>
      <c r="C822" s="6"/>
      <c r="D822" s="6"/>
      <c r="E822" s="6"/>
      <c r="F822" s="6"/>
      <c r="G822" s="48"/>
      <c r="H822" s="48"/>
      <c r="I822" s="49"/>
      <c r="J822" s="50"/>
      <c r="K822" s="49"/>
      <c r="L822" s="49"/>
      <c r="M822" s="48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</row>
    <row r="823">
      <c r="A823" s="6"/>
      <c r="B823" s="47"/>
      <c r="C823" s="6"/>
      <c r="D823" s="6"/>
      <c r="E823" s="6"/>
      <c r="F823" s="6"/>
      <c r="G823" s="48"/>
      <c r="H823" s="48"/>
      <c r="I823" s="49"/>
      <c r="J823" s="50"/>
      <c r="K823" s="49"/>
      <c r="L823" s="49"/>
      <c r="M823" s="48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</row>
    <row r="824">
      <c r="A824" s="6"/>
      <c r="B824" s="47"/>
      <c r="C824" s="6"/>
      <c r="D824" s="6"/>
      <c r="E824" s="6"/>
      <c r="F824" s="6"/>
      <c r="G824" s="48"/>
      <c r="H824" s="48"/>
      <c r="I824" s="49"/>
      <c r="J824" s="50"/>
      <c r="K824" s="49"/>
      <c r="L824" s="49"/>
      <c r="M824" s="48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</row>
    <row r="825">
      <c r="A825" s="6"/>
      <c r="B825" s="47"/>
      <c r="C825" s="6"/>
      <c r="D825" s="6"/>
      <c r="E825" s="6"/>
      <c r="F825" s="6"/>
      <c r="G825" s="48"/>
      <c r="H825" s="48"/>
      <c r="I825" s="49"/>
      <c r="J825" s="50"/>
      <c r="K825" s="49"/>
      <c r="L825" s="49"/>
      <c r="M825" s="48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</row>
    <row r="826">
      <c r="A826" s="6"/>
      <c r="B826" s="47"/>
      <c r="C826" s="6"/>
      <c r="D826" s="6"/>
      <c r="E826" s="6"/>
      <c r="F826" s="6"/>
      <c r="G826" s="48"/>
      <c r="H826" s="48"/>
      <c r="I826" s="49"/>
      <c r="J826" s="50"/>
      <c r="K826" s="49"/>
      <c r="L826" s="49"/>
      <c r="M826" s="48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</row>
    <row r="827">
      <c r="A827" s="6"/>
      <c r="B827" s="47"/>
      <c r="C827" s="6"/>
      <c r="D827" s="6"/>
      <c r="E827" s="6"/>
      <c r="F827" s="6"/>
      <c r="G827" s="48"/>
      <c r="H827" s="48"/>
      <c r="I827" s="49"/>
      <c r="J827" s="50"/>
      <c r="K827" s="49"/>
      <c r="L827" s="49"/>
      <c r="M827" s="48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</row>
    <row r="828">
      <c r="A828" s="6"/>
      <c r="B828" s="47"/>
      <c r="C828" s="6"/>
      <c r="D828" s="6"/>
      <c r="E828" s="6"/>
      <c r="F828" s="6"/>
      <c r="G828" s="48"/>
      <c r="H828" s="48"/>
      <c r="I828" s="49"/>
      <c r="J828" s="50"/>
      <c r="K828" s="49"/>
      <c r="L828" s="49"/>
      <c r="M828" s="48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</row>
    <row r="829">
      <c r="A829" s="6"/>
      <c r="B829" s="47"/>
      <c r="C829" s="6"/>
      <c r="D829" s="6"/>
      <c r="E829" s="6"/>
      <c r="F829" s="6"/>
      <c r="G829" s="48"/>
      <c r="H829" s="48"/>
      <c r="I829" s="49"/>
      <c r="J829" s="50"/>
      <c r="K829" s="49"/>
      <c r="L829" s="49"/>
      <c r="M829" s="48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</row>
    <row r="830">
      <c r="A830" s="6"/>
      <c r="B830" s="47"/>
      <c r="C830" s="6"/>
      <c r="D830" s="6"/>
      <c r="E830" s="6"/>
      <c r="F830" s="6"/>
      <c r="G830" s="48"/>
      <c r="H830" s="48"/>
      <c r="I830" s="49"/>
      <c r="J830" s="50"/>
      <c r="K830" s="49"/>
      <c r="L830" s="49"/>
      <c r="M830" s="48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</row>
    <row r="831">
      <c r="A831" s="6"/>
      <c r="B831" s="47"/>
      <c r="C831" s="6"/>
      <c r="D831" s="6"/>
      <c r="E831" s="6"/>
      <c r="F831" s="6"/>
      <c r="G831" s="48"/>
      <c r="H831" s="48"/>
      <c r="I831" s="49"/>
      <c r="J831" s="50"/>
      <c r="K831" s="49"/>
      <c r="L831" s="49"/>
      <c r="M831" s="48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</row>
    <row r="832">
      <c r="A832" s="6"/>
      <c r="B832" s="47"/>
      <c r="C832" s="6"/>
      <c r="D832" s="6"/>
      <c r="E832" s="6"/>
      <c r="F832" s="6"/>
      <c r="G832" s="48"/>
      <c r="H832" s="48"/>
      <c r="I832" s="49"/>
      <c r="J832" s="50"/>
      <c r="K832" s="49"/>
      <c r="L832" s="49"/>
      <c r="M832" s="48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</row>
    <row r="833">
      <c r="A833" s="6"/>
      <c r="B833" s="47"/>
      <c r="C833" s="6"/>
      <c r="D833" s="6"/>
      <c r="E833" s="6"/>
      <c r="F833" s="6"/>
      <c r="G833" s="48"/>
      <c r="H833" s="48"/>
      <c r="I833" s="49"/>
      <c r="J833" s="50"/>
      <c r="K833" s="49"/>
      <c r="L833" s="49"/>
      <c r="M833" s="48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</row>
    <row r="834">
      <c r="A834" s="6"/>
      <c r="B834" s="47"/>
      <c r="C834" s="6"/>
      <c r="D834" s="6"/>
      <c r="E834" s="6"/>
      <c r="F834" s="6"/>
      <c r="G834" s="48"/>
      <c r="H834" s="48"/>
      <c r="I834" s="49"/>
      <c r="J834" s="50"/>
      <c r="K834" s="49"/>
      <c r="L834" s="49"/>
      <c r="M834" s="48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</row>
    <row r="835">
      <c r="A835" s="6"/>
      <c r="B835" s="47"/>
      <c r="C835" s="6"/>
      <c r="D835" s="6"/>
      <c r="E835" s="6"/>
      <c r="F835" s="6"/>
      <c r="G835" s="48"/>
      <c r="H835" s="48"/>
      <c r="I835" s="49"/>
      <c r="J835" s="50"/>
      <c r="K835" s="49"/>
      <c r="L835" s="49"/>
      <c r="M835" s="48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</row>
    <row r="836">
      <c r="A836" s="6"/>
      <c r="B836" s="47"/>
      <c r="C836" s="6"/>
      <c r="D836" s="6"/>
      <c r="E836" s="6"/>
      <c r="F836" s="6"/>
      <c r="G836" s="48"/>
      <c r="H836" s="48"/>
      <c r="I836" s="49"/>
      <c r="J836" s="50"/>
      <c r="K836" s="49"/>
      <c r="L836" s="49"/>
      <c r="M836" s="48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</row>
    <row r="837">
      <c r="A837" s="6"/>
      <c r="B837" s="47"/>
      <c r="C837" s="6"/>
      <c r="D837" s="6"/>
      <c r="E837" s="6"/>
      <c r="F837" s="6"/>
      <c r="G837" s="48"/>
      <c r="H837" s="48"/>
      <c r="I837" s="49"/>
      <c r="J837" s="50"/>
      <c r="K837" s="49"/>
      <c r="L837" s="49"/>
      <c r="M837" s="48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</row>
    <row r="838">
      <c r="A838" s="6"/>
      <c r="B838" s="47"/>
      <c r="C838" s="6"/>
      <c r="D838" s="6"/>
      <c r="E838" s="6"/>
      <c r="F838" s="6"/>
      <c r="G838" s="48"/>
      <c r="H838" s="48"/>
      <c r="I838" s="49"/>
      <c r="J838" s="50"/>
      <c r="K838" s="49"/>
      <c r="L838" s="49"/>
      <c r="M838" s="48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</row>
    <row r="839">
      <c r="A839" s="6"/>
      <c r="B839" s="47"/>
      <c r="C839" s="6"/>
      <c r="D839" s="6"/>
      <c r="E839" s="6"/>
      <c r="F839" s="6"/>
      <c r="G839" s="48"/>
      <c r="H839" s="48"/>
      <c r="I839" s="49"/>
      <c r="J839" s="50"/>
      <c r="K839" s="49"/>
      <c r="L839" s="49"/>
      <c r="M839" s="48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</row>
    <row r="840">
      <c r="A840" s="6"/>
      <c r="B840" s="47"/>
      <c r="C840" s="6"/>
      <c r="D840" s="6"/>
      <c r="E840" s="6"/>
      <c r="F840" s="6"/>
      <c r="G840" s="48"/>
      <c r="H840" s="48"/>
      <c r="I840" s="49"/>
      <c r="J840" s="50"/>
      <c r="K840" s="49"/>
      <c r="L840" s="49"/>
      <c r="M840" s="48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</row>
    <row r="841">
      <c r="A841" s="6"/>
      <c r="B841" s="47"/>
      <c r="C841" s="6"/>
      <c r="D841" s="6"/>
      <c r="E841" s="6"/>
      <c r="F841" s="6"/>
      <c r="G841" s="48"/>
      <c r="H841" s="48"/>
      <c r="I841" s="49"/>
      <c r="J841" s="50"/>
      <c r="K841" s="49"/>
      <c r="L841" s="49"/>
      <c r="M841" s="48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</row>
    <row r="842">
      <c r="A842" s="6"/>
      <c r="B842" s="47"/>
      <c r="C842" s="6"/>
      <c r="D842" s="6"/>
      <c r="E842" s="6"/>
      <c r="F842" s="6"/>
      <c r="G842" s="48"/>
      <c r="H842" s="48"/>
      <c r="I842" s="49"/>
      <c r="J842" s="50"/>
      <c r="K842" s="49"/>
      <c r="L842" s="49"/>
      <c r="M842" s="48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</row>
    <row r="843">
      <c r="A843" s="6"/>
      <c r="B843" s="47"/>
      <c r="C843" s="6"/>
      <c r="D843" s="6"/>
      <c r="E843" s="6"/>
      <c r="F843" s="6"/>
      <c r="G843" s="48"/>
      <c r="H843" s="48"/>
      <c r="I843" s="49"/>
      <c r="J843" s="50"/>
      <c r="K843" s="49"/>
      <c r="L843" s="49"/>
      <c r="M843" s="48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</row>
    <row r="844">
      <c r="A844" s="6"/>
      <c r="B844" s="47"/>
      <c r="C844" s="6"/>
      <c r="D844" s="6"/>
      <c r="E844" s="6"/>
      <c r="F844" s="6"/>
      <c r="G844" s="48"/>
      <c r="H844" s="48"/>
      <c r="I844" s="49"/>
      <c r="J844" s="50"/>
      <c r="K844" s="49"/>
      <c r="L844" s="49"/>
      <c r="M844" s="48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</row>
    <row r="845">
      <c r="A845" s="6"/>
      <c r="B845" s="47"/>
      <c r="C845" s="6"/>
      <c r="D845" s="6"/>
      <c r="E845" s="6"/>
      <c r="F845" s="6"/>
      <c r="G845" s="48"/>
      <c r="H845" s="48"/>
      <c r="I845" s="49"/>
      <c r="J845" s="50"/>
      <c r="K845" s="49"/>
      <c r="L845" s="49"/>
      <c r="M845" s="48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</row>
    <row r="846">
      <c r="A846" s="6"/>
      <c r="B846" s="47"/>
      <c r="C846" s="6"/>
      <c r="D846" s="6"/>
      <c r="E846" s="6"/>
      <c r="F846" s="6"/>
      <c r="G846" s="48"/>
      <c r="H846" s="48"/>
      <c r="I846" s="49"/>
      <c r="J846" s="50"/>
      <c r="K846" s="49"/>
      <c r="L846" s="49"/>
      <c r="M846" s="48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</row>
    <row r="847">
      <c r="A847" s="6"/>
      <c r="B847" s="47"/>
      <c r="C847" s="6"/>
      <c r="D847" s="6"/>
      <c r="E847" s="6"/>
      <c r="F847" s="6"/>
      <c r="G847" s="48"/>
      <c r="H847" s="48"/>
      <c r="I847" s="49"/>
      <c r="J847" s="50"/>
      <c r="K847" s="49"/>
      <c r="L847" s="49"/>
      <c r="M847" s="48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</row>
    <row r="848">
      <c r="A848" s="6"/>
      <c r="B848" s="47"/>
      <c r="C848" s="6"/>
      <c r="D848" s="6"/>
      <c r="E848" s="6"/>
      <c r="F848" s="6"/>
      <c r="G848" s="48"/>
      <c r="H848" s="48"/>
      <c r="I848" s="49"/>
      <c r="J848" s="50"/>
      <c r="K848" s="49"/>
      <c r="L848" s="49"/>
      <c r="M848" s="48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</row>
    <row r="849">
      <c r="A849" s="6"/>
      <c r="B849" s="47"/>
      <c r="C849" s="6"/>
      <c r="D849" s="6"/>
      <c r="E849" s="6"/>
      <c r="F849" s="6"/>
      <c r="G849" s="48"/>
      <c r="H849" s="48"/>
      <c r="I849" s="49"/>
      <c r="J849" s="50"/>
      <c r="K849" s="49"/>
      <c r="L849" s="49"/>
      <c r="M849" s="48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</row>
    <row r="850">
      <c r="A850" s="6"/>
      <c r="B850" s="47"/>
      <c r="C850" s="6"/>
      <c r="D850" s="6"/>
      <c r="E850" s="6"/>
      <c r="F850" s="6"/>
      <c r="G850" s="48"/>
      <c r="H850" s="48"/>
      <c r="I850" s="49"/>
      <c r="J850" s="50"/>
      <c r="K850" s="49"/>
      <c r="L850" s="49"/>
      <c r="M850" s="48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</row>
    <row r="851">
      <c r="A851" s="6"/>
      <c r="B851" s="47"/>
      <c r="C851" s="6"/>
      <c r="D851" s="6"/>
      <c r="E851" s="6"/>
      <c r="F851" s="6"/>
      <c r="G851" s="48"/>
      <c r="H851" s="48"/>
      <c r="I851" s="49"/>
      <c r="J851" s="50"/>
      <c r="K851" s="49"/>
      <c r="L851" s="49"/>
      <c r="M851" s="48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</row>
    <row r="852">
      <c r="A852" s="6"/>
      <c r="B852" s="47"/>
      <c r="C852" s="6"/>
      <c r="D852" s="6"/>
      <c r="E852" s="6"/>
      <c r="F852" s="6"/>
      <c r="G852" s="48"/>
      <c r="H852" s="48"/>
      <c r="I852" s="49"/>
      <c r="J852" s="50"/>
      <c r="K852" s="49"/>
      <c r="L852" s="49"/>
      <c r="M852" s="48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</row>
    <row r="853">
      <c r="A853" s="6"/>
      <c r="B853" s="47"/>
      <c r="C853" s="6"/>
      <c r="D853" s="6"/>
      <c r="E853" s="6"/>
      <c r="F853" s="6"/>
      <c r="G853" s="48"/>
      <c r="H853" s="48"/>
      <c r="I853" s="49"/>
      <c r="J853" s="50"/>
      <c r="K853" s="49"/>
      <c r="L853" s="49"/>
      <c r="M853" s="48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</row>
    <row r="854">
      <c r="A854" s="6"/>
      <c r="B854" s="47"/>
      <c r="C854" s="6"/>
      <c r="D854" s="6"/>
      <c r="E854" s="6"/>
      <c r="F854" s="6"/>
      <c r="G854" s="48"/>
      <c r="H854" s="48"/>
      <c r="I854" s="49"/>
      <c r="J854" s="50"/>
      <c r="K854" s="49"/>
      <c r="L854" s="49"/>
      <c r="M854" s="48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</row>
    <row r="855">
      <c r="A855" s="6"/>
      <c r="B855" s="47"/>
      <c r="C855" s="6"/>
      <c r="D855" s="6"/>
      <c r="E855" s="6"/>
      <c r="F855" s="6"/>
      <c r="G855" s="48"/>
      <c r="H855" s="48"/>
      <c r="I855" s="49"/>
      <c r="J855" s="50"/>
      <c r="K855" s="49"/>
      <c r="L855" s="49"/>
      <c r="M855" s="48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</row>
    <row r="856">
      <c r="A856" s="6"/>
      <c r="B856" s="47"/>
      <c r="C856" s="6"/>
      <c r="D856" s="6"/>
      <c r="E856" s="6"/>
      <c r="F856" s="6"/>
      <c r="G856" s="48"/>
      <c r="H856" s="48"/>
      <c r="I856" s="49"/>
      <c r="J856" s="50"/>
      <c r="K856" s="49"/>
      <c r="L856" s="49"/>
      <c r="M856" s="48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</row>
    <row r="857">
      <c r="A857" s="6"/>
      <c r="B857" s="47"/>
      <c r="C857" s="6"/>
      <c r="D857" s="6"/>
      <c r="E857" s="6"/>
      <c r="F857" s="6"/>
      <c r="G857" s="48"/>
      <c r="H857" s="48"/>
      <c r="I857" s="49"/>
      <c r="J857" s="50"/>
      <c r="K857" s="49"/>
      <c r="L857" s="49"/>
      <c r="M857" s="48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</row>
    <row r="858">
      <c r="A858" s="6"/>
      <c r="B858" s="47"/>
      <c r="C858" s="6"/>
      <c r="D858" s="6"/>
      <c r="E858" s="6"/>
      <c r="F858" s="6"/>
      <c r="G858" s="48"/>
      <c r="H858" s="48"/>
      <c r="I858" s="49"/>
      <c r="J858" s="50"/>
      <c r="K858" s="49"/>
      <c r="L858" s="49"/>
      <c r="M858" s="48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</row>
    <row r="859">
      <c r="A859" s="6"/>
      <c r="B859" s="47"/>
      <c r="C859" s="6"/>
      <c r="D859" s="6"/>
      <c r="E859" s="6"/>
      <c r="F859" s="6"/>
      <c r="G859" s="48"/>
      <c r="H859" s="48"/>
      <c r="I859" s="49"/>
      <c r="J859" s="50"/>
      <c r="K859" s="49"/>
      <c r="L859" s="49"/>
      <c r="M859" s="48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</row>
    <row r="860">
      <c r="A860" s="6"/>
      <c r="B860" s="47"/>
      <c r="C860" s="6"/>
      <c r="D860" s="6"/>
      <c r="E860" s="6"/>
      <c r="F860" s="6"/>
      <c r="G860" s="48"/>
      <c r="H860" s="48"/>
      <c r="I860" s="49"/>
      <c r="J860" s="50"/>
      <c r="K860" s="49"/>
      <c r="L860" s="49"/>
      <c r="M860" s="48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</row>
    <row r="861">
      <c r="A861" s="6"/>
      <c r="B861" s="47"/>
      <c r="C861" s="6"/>
      <c r="D861" s="6"/>
      <c r="E861" s="6"/>
      <c r="F861" s="6"/>
      <c r="G861" s="48"/>
      <c r="H861" s="48"/>
      <c r="I861" s="49"/>
      <c r="J861" s="50"/>
      <c r="K861" s="49"/>
      <c r="L861" s="49"/>
      <c r="M861" s="48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</row>
    <row r="862">
      <c r="A862" s="6"/>
      <c r="B862" s="47"/>
      <c r="C862" s="6"/>
      <c r="D862" s="6"/>
      <c r="E862" s="6"/>
      <c r="F862" s="6"/>
      <c r="G862" s="48"/>
      <c r="H862" s="48"/>
      <c r="I862" s="49"/>
      <c r="J862" s="50"/>
      <c r="K862" s="49"/>
      <c r="L862" s="49"/>
      <c r="M862" s="48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</row>
    <row r="863">
      <c r="A863" s="6"/>
      <c r="B863" s="47"/>
      <c r="C863" s="6"/>
      <c r="D863" s="6"/>
      <c r="E863" s="6"/>
      <c r="F863" s="6"/>
      <c r="G863" s="48"/>
      <c r="H863" s="48"/>
      <c r="I863" s="49"/>
      <c r="J863" s="50"/>
      <c r="K863" s="49"/>
      <c r="L863" s="49"/>
      <c r="M863" s="48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</row>
    <row r="864">
      <c r="A864" s="6"/>
      <c r="B864" s="47"/>
      <c r="C864" s="6"/>
      <c r="D864" s="6"/>
      <c r="E864" s="6"/>
      <c r="F864" s="6"/>
      <c r="G864" s="48"/>
      <c r="H864" s="48"/>
      <c r="I864" s="49"/>
      <c r="J864" s="50"/>
      <c r="K864" s="49"/>
      <c r="L864" s="49"/>
      <c r="M864" s="48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</row>
    <row r="865">
      <c r="A865" s="6"/>
      <c r="B865" s="47"/>
      <c r="C865" s="6"/>
      <c r="D865" s="6"/>
      <c r="E865" s="6"/>
      <c r="F865" s="6"/>
      <c r="G865" s="48"/>
      <c r="H865" s="48"/>
      <c r="I865" s="49"/>
      <c r="J865" s="50"/>
      <c r="K865" s="49"/>
      <c r="L865" s="49"/>
      <c r="M865" s="48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</row>
    <row r="866">
      <c r="A866" s="6"/>
      <c r="B866" s="47"/>
      <c r="C866" s="6"/>
      <c r="D866" s="6"/>
      <c r="E866" s="6"/>
      <c r="F866" s="6"/>
      <c r="G866" s="48"/>
      <c r="H866" s="48"/>
      <c r="I866" s="49"/>
      <c r="J866" s="50"/>
      <c r="K866" s="49"/>
      <c r="L866" s="49"/>
      <c r="M866" s="48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</row>
    <row r="867">
      <c r="A867" s="6"/>
      <c r="B867" s="47"/>
      <c r="C867" s="6"/>
      <c r="D867" s="6"/>
      <c r="E867" s="6"/>
      <c r="F867" s="6"/>
      <c r="G867" s="48"/>
      <c r="H867" s="48"/>
      <c r="I867" s="49"/>
      <c r="J867" s="50"/>
      <c r="K867" s="49"/>
      <c r="L867" s="49"/>
      <c r="M867" s="48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</row>
    <row r="868">
      <c r="A868" s="6"/>
      <c r="B868" s="47"/>
      <c r="C868" s="6"/>
      <c r="D868" s="6"/>
      <c r="E868" s="6"/>
      <c r="F868" s="6"/>
      <c r="G868" s="48"/>
      <c r="H868" s="48"/>
      <c r="I868" s="49"/>
      <c r="J868" s="50"/>
      <c r="K868" s="49"/>
      <c r="L868" s="49"/>
      <c r="M868" s="48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</row>
    <row r="869">
      <c r="A869" s="6"/>
      <c r="B869" s="47"/>
      <c r="C869" s="6"/>
      <c r="D869" s="6"/>
      <c r="E869" s="6"/>
      <c r="F869" s="6"/>
      <c r="G869" s="48"/>
      <c r="H869" s="48"/>
      <c r="I869" s="49"/>
      <c r="J869" s="50"/>
      <c r="K869" s="49"/>
      <c r="L869" s="49"/>
      <c r="M869" s="48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</row>
    <row r="870">
      <c r="A870" s="6"/>
      <c r="B870" s="47"/>
      <c r="C870" s="6"/>
      <c r="D870" s="6"/>
      <c r="E870" s="6"/>
      <c r="F870" s="6"/>
      <c r="G870" s="48"/>
      <c r="H870" s="48"/>
      <c r="I870" s="49"/>
      <c r="J870" s="50"/>
      <c r="K870" s="49"/>
      <c r="L870" s="49"/>
      <c r="M870" s="48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</row>
    <row r="871">
      <c r="A871" s="6"/>
      <c r="B871" s="47"/>
      <c r="C871" s="6"/>
      <c r="D871" s="6"/>
      <c r="E871" s="6"/>
      <c r="F871" s="6"/>
      <c r="G871" s="48"/>
      <c r="H871" s="48"/>
      <c r="I871" s="49"/>
      <c r="J871" s="50"/>
      <c r="K871" s="49"/>
      <c r="L871" s="49"/>
      <c r="M871" s="48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</row>
    <row r="872">
      <c r="A872" s="6"/>
      <c r="B872" s="47"/>
      <c r="C872" s="6"/>
      <c r="D872" s="6"/>
      <c r="E872" s="6"/>
      <c r="F872" s="6"/>
      <c r="G872" s="48"/>
      <c r="H872" s="48"/>
      <c r="I872" s="49"/>
      <c r="J872" s="50"/>
      <c r="K872" s="49"/>
      <c r="L872" s="49"/>
      <c r="M872" s="48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</row>
    <row r="873">
      <c r="A873" s="6"/>
      <c r="B873" s="47"/>
      <c r="C873" s="6"/>
      <c r="D873" s="6"/>
      <c r="E873" s="6"/>
      <c r="F873" s="6"/>
      <c r="G873" s="48"/>
      <c r="H873" s="48"/>
      <c r="I873" s="49"/>
      <c r="J873" s="50"/>
      <c r="K873" s="49"/>
      <c r="L873" s="49"/>
      <c r="M873" s="48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</row>
    <row r="874">
      <c r="A874" s="6"/>
      <c r="B874" s="47"/>
      <c r="C874" s="6"/>
      <c r="D874" s="6"/>
      <c r="E874" s="6"/>
      <c r="F874" s="6"/>
      <c r="G874" s="48"/>
      <c r="H874" s="48"/>
      <c r="I874" s="49"/>
      <c r="J874" s="50"/>
      <c r="K874" s="49"/>
      <c r="L874" s="49"/>
      <c r="M874" s="48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</row>
    <row r="875">
      <c r="A875" s="6"/>
      <c r="B875" s="47"/>
      <c r="C875" s="6"/>
      <c r="D875" s="6"/>
      <c r="E875" s="6"/>
      <c r="F875" s="6"/>
      <c r="G875" s="48"/>
      <c r="H875" s="48"/>
      <c r="I875" s="49"/>
      <c r="J875" s="50"/>
      <c r="K875" s="49"/>
      <c r="L875" s="49"/>
      <c r="M875" s="48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</row>
    <row r="876">
      <c r="A876" s="6"/>
      <c r="B876" s="47"/>
      <c r="C876" s="6"/>
      <c r="D876" s="6"/>
      <c r="E876" s="6"/>
      <c r="F876" s="6"/>
      <c r="G876" s="48"/>
      <c r="H876" s="48"/>
      <c r="I876" s="49"/>
      <c r="J876" s="50"/>
      <c r="K876" s="49"/>
      <c r="L876" s="49"/>
      <c r="M876" s="48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</row>
    <row r="877">
      <c r="A877" s="6"/>
      <c r="B877" s="47"/>
      <c r="C877" s="6"/>
      <c r="D877" s="6"/>
      <c r="E877" s="6"/>
      <c r="F877" s="6"/>
      <c r="G877" s="48"/>
      <c r="H877" s="48"/>
      <c r="I877" s="49"/>
      <c r="J877" s="50"/>
      <c r="K877" s="49"/>
      <c r="L877" s="49"/>
      <c r="M877" s="48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</row>
    <row r="878">
      <c r="A878" s="6"/>
      <c r="B878" s="47"/>
      <c r="C878" s="6"/>
      <c r="D878" s="6"/>
      <c r="E878" s="6"/>
      <c r="F878" s="6"/>
      <c r="G878" s="48"/>
      <c r="H878" s="48"/>
      <c r="I878" s="49"/>
      <c r="J878" s="50"/>
      <c r="K878" s="49"/>
      <c r="L878" s="49"/>
      <c r="M878" s="48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</row>
    <row r="879">
      <c r="A879" s="6"/>
      <c r="B879" s="47"/>
      <c r="C879" s="6"/>
      <c r="D879" s="6"/>
      <c r="E879" s="6"/>
      <c r="F879" s="6"/>
      <c r="G879" s="48"/>
      <c r="H879" s="48"/>
      <c r="I879" s="49"/>
      <c r="J879" s="50"/>
      <c r="K879" s="49"/>
      <c r="L879" s="49"/>
      <c r="M879" s="48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</row>
    <row r="880">
      <c r="A880" s="6"/>
      <c r="B880" s="47"/>
      <c r="C880" s="6"/>
      <c r="D880" s="6"/>
      <c r="E880" s="6"/>
      <c r="F880" s="6"/>
      <c r="G880" s="48"/>
      <c r="H880" s="48"/>
      <c r="I880" s="49"/>
      <c r="J880" s="50"/>
      <c r="K880" s="49"/>
      <c r="L880" s="49"/>
      <c r="M880" s="48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</row>
    <row r="881">
      <c r="A881" s="6"/>
      <c r="B881" s="47"/>
      <c r="C881" s="6"/>
      <c r="D881" s="6"/>
      <c r="E881" s="6"/>
      <c r="F881" s="6"/>
      <c r="G881" s="48"/>
      <c r="H881" s="48"/>
      <c r="I881" s="49"/>
      <c r="J881" s="50"/>
      <c r="K881" s="49"/>
      <c r="L881" s="49"/>
      <c r="M881" s="48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</row>
    <row r="882">
      <c r="A882" s="6"/>
      <c r="B882" s="47"/>
      <c r="C882" s="6"/>
      <c r="D882" s="6"/>
      <c r="E882" s="6"/>
      <c r="F882" s="6"/>
      <c r="G882" s="48"/>
      <c r="H882" s="48"/>
      <c r="I882" s="49"/>
      <c r="J882" s="50"/>
      <c r="K882" s="49"/>
      <c r="L882" s="49"/>
      <c r="M882" s="48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</row>
    <row r="883">
      <c r="A883" s="6"/>
      <c r="B883" s="47"/>
      <c r="C883" s="6"/>
      <c r="D883" s="6"/>
      <c r="E883" s="6"/>
      <c r="F883" s="6"/>
      <c r="G883" s="48"/>
      <c r="H883" s="48"/>
      <c r="I883" s="49"/>
      <c r="J883" s="50"/>
      <c r="K883" s="49"/>
      <c r="L883" s="49"/>
      <c r="M883" s="48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</row>
    <row r="884">
      <c r="A884" s="6"/>
      <c r="B884" s="47"/>
      <c r="C884" s="6"/>
      <c r="D884" s="6"/>
      <c r="E884" s="6"/>
      <c r="F884" s="6"/>
      <c r="G884" s="48"/>
      <c r="H884" s="48"/>
      <c r="I884" s="49"/>
      <c r="J884" s="50"/>
      <c r="K884" s="49"/>
      <c r="L884" s="49"/>
      <c r="M884" s="48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</row>
    <row r="885">
      <c r="A885" s="6"/>
      <c r="B885" s="47"/>
      <c r="C885" s="6"/>
      <c r="D885" s="6"/>
      <c r="E885" s="6"/>
      <c r="F885" s="6"/>
      <c r="G885" s="48"/>
      <c r="H885" s="48"/>
      <c r="I885" s="49"/>
      <c r="J885" s="50"/>
      <c r="K885" s="49"/>
      <c r="L885" s="49"/>
      <c r="M885" s="48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</row>
    <row r="886">
      <c r="A886" s="6"/>
      <c r="B886" s="47"/>
      <c r="C886" s="6"/>
      <c r="D886" s="6"/>
      <c r="E886" s="6"/>
      <c r="F886" s="6"/>
      <c r="G886" s="48"/>
      <c r="H886" s="48"/>
      <c r="I886" s="49"/>
      <c r="J886" s="50"/>
      <c r="K886" s="49"/>
      <c r="L886" s="49"/>
      <c r="M886" s="48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</row>
    <row r="887">
      <c r="A887" s="6"/>
      <c r="B887" s="47"/>
      <c r="C887" s="6"/>
      <c r="D887" s="6"/>
      <c r="E887" s="6"/>
      <c r="F887" s="6"/>
      <c r="G887" s="48"/>
      <c r="H887" s="48"/>
      <c r="I887" s="49"/>
      <c r="J887" s="50"/>
      <c r="K887" s="49"/>
      <c r="L887" s="49"/>
      <c r="M887" s="48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</row>
    <row r="888">
      <c r="A888" s="6"/>
      <c r="B888" s="47"/>
      <c r="C888" s="6"/>
      <c r="D888" s="6"/>
      <c r="E888" s="6"/>
      <c r="F888" s="6"/>
      <c r="G888" s="48"/>
      <c r="H888" s="48"/>
      <c r="I888" s="49"/>
      <c r="J888" s="50"/>
      <c r="K888" s="49"/>
      <c r="L888" s="49"/>
      <c r="M888" s="48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</row>
    <row r="889">
      <c r="A889" s="6"/>
      <c r="B889" s="47"/>
      <c r="C889" s="6"/>
      <c r="D889" s="6"/>
      <c r="E889" s="6"/>
      <c r="F889" s="6"/>
      <c r="G889" s="48"/>
      <c r="H889" s="48"/>
      <c r="I889" s="49"/>
      <c r="J889" s="50"/>
      <c r="K889" s="49"/>
      <c r="L889" s="49"/>
      <c r="M889" s="48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</row>
    <row r="890">
      <c r="A890" s="6"/>
      <c r="B890" s="47"/>
      <c r="C890" s="6"/>
      <c r="D890" s="6"/>
      <c r="E890" s="6"/>
      <c r="F890" s="6"/>
      <c r="G890" s="48"/>
      <c r="H890" s="48"/>
      <c r="I890" s="49"/>
      <c r="J890" s="50"/>
      <c r="K890" s="49"/>
      <c r="L890" s="49"/>
      <c r="M890" s="48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</row>
    <row r="891">
      <c r="A891" s="6"/>
      <c r="B891" s="47"/>
      <c r="C891" s="6"/>
      <c r="D891" s="6"/>
      <c r="E891" s="6"/>
      <c r="F891" s="6"/>
      <c r="G891" s="48"/>
      <c r="H891" s="48"/>
      <c r="I891" s="49"/>
      <c r="J891" s="50"/>
      <c r="K891" s="49"/>
      <c r="L891" s="49"/>
      <c r="M891" s="48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</row>
    <row r="892">
      <c r="A892" s="6"/>
      <c r="B892" s="47"/>
      <c r="C892" s="6"/>
      <c r="D892" s="6"/>
      <c r="E892" s="6"/>
      <c r="F892" s="6"/>
      <c r="G892" s="48"/>
      <c r="H892" s="48"/>
      <c r="I892" s="49"/>
      <c r="J892" s="50"/>
      <c r="K892" s="49"/>
      <c r="L892" s="49"/>
      <c r="M892" s="48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</row>
    <row r="893">
      <c r="A893" s="6"/>
      <c r="B893" s="47"/>
      <c r="C893" s="6"/>
      <c r="D893" s="6"/>
      <c r="E893" s="6"/>
      <c r="F893" s="6"/>
      <c r="G893" s="48"/>
      <c r="H893" s="48"/>
      <c r="I893" s="49"/>
      <c r="J893" s="50"/>
      <c r="K893" s="49"/>
      <c r="L893" s="49"/>
      <c r="M893" s="48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</row>
    <row r="894">
      <c r="A894" s="6"/>
      <c r="B894" s="47"/>
      <c r="C894" s="6"/>
      <c r="D894" s="6"/>
      <c r="E894" s="6"/>
      <c r="F894" s="6"/>
      <c r="G894" s="48"/>
      <c r="H894" s="48"/>
      <c r="I894" s="49"/>
      <c r="J894" s="50"/>
      <c r="K894" s="49"/>
      <c r="L894" s="49"/>
      <c r="M894" s="48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</row>
    <row r="895">
      <c r="A895" s="6"/>
      <c r="B895" s="47"/>
      <c r="C895" s="6"/>
      <c r="D895" s="6"/>
      <c r="E895" s="6"/>
      <c r="F895" s="6"/>
      <c r="G895" s="48"/>
      <c r="H895" s="48"/>
      <c r="I895" s="49"/>
      <c r="J895" s="50"/>
      <c r="K895" s="49"/>
      <c r="L895" s="49"/>
      <c r="M895" s="48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</row>
    <row r="896">
      <c r="A896" s="6"/>
      <c r="B896" s="47"/>
      <c r="C896" s="6"/>
      <c r="D896" s="6"/>
      <c r="E896" s="6"/>
      <c r="F896" s="6"/>
      <c r="G896" s="48"/>
      <c r="H896" s="48"/>
      <c r="I896" s="49"/>
      <c r="J896" s="50"/>
      <c r="K896" s="49"/>
      <c r="L896" s="49"/>
      <c r="M896" s="48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</row>
    <row r="897">
      <c r="A897" s="6"/>
      <c r="B897" s="47"/>
      <c r="C897" s="6"/>
      <c r="D897" s="6"/>
      <c r="E897" s="6"/>
      <c r="F897" s="6"/>
      <c r="G897" s="48"/>
      <c r="H897" s="48"/>
      <c r="I897" s="49"/>
      <c r="J897" s="50"/>
      <c r="K897" s="49"/>
      <c r="L897" s="49"/>
      <c r="M897" s="48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</row>
    <row r="898">
      <c r="A898" s="6"/>
      <c r="B898" s="47"/>
      <c r="C898" s="6"/>
      <c r="D898" s="6"/>
      <c r="E898" s="6"/>
      <c r="F898" s="6"/>
      <c r="G898" s="48"/>
      <c r="H898" s="48"/>
      <c r="I898" s="49"/>
      <c r="J898" s="50"/>
      <c r="K898" s="49"/>
      <c r="L898" s="49"/>
      <c r="M898" s="48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</row>
    <row r="899">
      <c r="A899" s="6"/>
      <c r="B899" s="47"/>
      <c r="C899" s="6"/>
      <c r="D899" s="6"/>
      <c r="E899" s="6"/>
      <c r="F899" s="6"/>
      <c r="G899" s="48"/>
      <c r="H899" s="48"/>
      <c r="I899" s="49"/>
      <c r="J899" s="50"/>
      <c r="K899" s="49"/>
      <c r="L899" s="49"/>
      <c r="M899" s="48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</row>
    <row r="900">
      <c r="A900" s="6"/>
      <c r="B900" s="47"/>
      <c r="C900" s="6"/>
      <c r="D900" s="6"/>
      <c r="E900" s="6"/>
      <c r="F900" s="6"/>
      <c r="G900" s="48"/>
      <c r="H900" s="48"/>
      <c r="I900" s="49"/>
      <c r="J900" s="50"/>
      <c r="K900" s="49"/>
      <c r="L900" s="49"/>
      <c r="M900" s="48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</row>
    <row r="901">
      <c r="A901" s="6"/>
      <c r="B901" s="47"/>
      <c r="C901" s="6"/>
      <c r="D901" s="6"/>
      <c r="E901" s="6"/>
      <c r="F901" s="6"/>
      <c r="G901" s="48"/>
      <c r="H901" s="48"/>
      <c r="I901" s="49"/>
      <c r="J901" s="50"/>
      <c r="K901" s="49"/>
      <c r="L901" s="49"/>
      <c r="M901" s="48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</row>
    <row r="902">
      <c r="A902" s="6"/>
      <c r="B902" s="47"/>
      <c r="C902" s="6"/>
      <c r="D902" s="6"/>
      <c r="E902" s="6"/>
      <c r="F902" s="6"/>
      <c r="G902" s="48"/>
      <c r="H902" s="48"/>
      <c r="I902" s="49"/>
      <c r="J902" s="50"/>
      <c r="K902" s="49"/>
      <c r="L902" s="49"/>
      <c r="M902" s="48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</row>
    <row r="903">
      <c r="A903" s="6"/>
      <c r="B903" s="47"/>
      <c r="C903" s="6"/>
      <c r="D903" s="6"/>
      <c r="E903" s="6"/>
      <c r="F903" s="6"/>
      <c r="G903" s="48"/>
      <c r="H903" s="48"/>
      <c r="I903" s="49"/>
      <c r="J903" s="50"/>
      <c r="K903" s="49"/>
      <c r="L903" s="49"/>
      <c r="M903" s="48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</row>
    <row r="904">
      <c r="A904" s="6"/>
      <c r="B904" s="47"/>
      <c r="C904" s="6"/>
      <c r="D904" s="6"/>
      <c r="E904" s="6"/>
      <c r="F904" s="6"/>
      <c r="G904" s="48"/>
      <c r="H904" s="48"/>
      <c r="I904" s="49"/>
      <c r="J904" s="50"/>
      <c r="K904" s="49"/>
      <c r="L904" s="49"/>
      <c r="M904" s="48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</row>
    <row r="905">
      <c r="A905" s="6"/>
      <c r="B905" s="47"/>
      <c r="C905" s="6"/>
      <c r="D905" s="6"/>
      <c r="E905" s="6"/>
      <c r="F905" s="6"/>
      <c r="G905" s="48"/>
      <c r="H905" s="48"/>
      <c r="I905" s="49"/>
      <c r="J905" s="50"/>
      <c r="K905" s="49"/>
      <c r="L905" s="49"/>
      <c r="M905" s="48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</row>
    <row r="906">
      <c r="A906" s="6"/>
      <c r="B906" s="47"/>
      <c r="C906" s="6"/>
      <c r="D906" s="6"/>
      <c r="E906" s="6"/>
      <c r="F906" s="6"/>
      <c r="G906" s="48"/>
      <c r="H906" s="48"/>
      <c r="I906" s="49"/>
      <c r="J906" s="50"/>
      <c r="K906" s="49"/>
      <c r="L906" s="49"/>
      <c r="M906" s="48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</row>
    <row r="907">
      <c r="A907" s="6"/>
      <c r="B907" s="47"/>
      <c r="C907" s="6"/>
      <c r="D907" s="6"/>
      <c r="E907" s="6"/>
      <c r="F907" s="6"/>
      <c r="G907" s="48"/>
      <c r="H907" s="48"/>
      <c r="I907" s="49"/>
      <c r="J907" s="50"/>
      <c r="K907" s="49"/>
      <c r="L907" s="49"/>
      <c r="M907" s="48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</row>
    <row r="908">
      <c r="A908" s="6"/>
      <c r="B908" s="47"/>
      <c r="C908" s="6"/>
      <c r="D908" s="6"/>
      <c r="E908" s="6"/>
      <c r="F908" s="6"/>
      <c r="G908" s="48"/>
      <c r="H908" s="48"/>
      <c r="I908" s="49"/>
      <c r="J908" s="50"/>
      <c r="K908" s="49"/>
      <c r="L908" s="49"/>
      <c r="M908" s="48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</row>
    <row r="909">
      <c r="A909" s="6"/>
      <c r="B909" s="47"/>
      <c r="C909" s="6"/>
      <c r="D909" s="6"/>
      <c r="E909" s="6"/>
      <c r="F909" s="6"/>
      <c r="G909" s="48"/>
      <c r="H909" s="48"/>
      <c r="I909" s="49"/>
      <c r="J909" s="50"/>
      <c r="K909" s="49"/>
      <c r="L909" s="49"/>
      <c r="M909" s="48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</row>
    <row r="910">
      <c r="A910" s="6"/>
      <c r="B910" s="47"/>
      <c r="C910" s="6"/>
      <c r="D910" s="6"/>
      <c r="E910" s="6"/>
      <c r="F910" s="6"/>
      <c r="G910" s="48"/>
      <c r="H910" s="48"/>
      <c r="I910" s="49"/>
      <c r="J910" s="50"/>
      <c r="K910" s="49"/>
      <c r="L910" s="49"/>
      <c r="M910" s="48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</row>
    <row r="911">
      <c r="A911" s="6"/>
      <c r="B911" s="47"/>
      <c r="C911" s="6"/>
      <c r="D911" s="6"/>
      <c r="E911" s="6"/>
      <c r="F911" s="6"/>
      <c r="G911" s="48"/>
      <c r="H911" s="48"/>
      <c r="I911" s="49"/>
      <c r="J911" s="50"/>
      <c r="K911" s="49"/>
      <c r="L911" s="49"/>
      <c r="M911" s="48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</row>
    <row r="912">
      <c r="A912" s="6"/>
      <c r="B912" s="47"/>
      <c r="C912" s="6"/>
      <c r="D912" s="6"/>
      <c r="E912" s="6"/>
      <c r="F912" s="6"/>
      <c r="G912" s="48"/>
      <c r="H912" s="48"/>
      <c r="I912" s="49"/>
      <c r="J912" s="50"/>
      <c r="K912" s="49"/>
      <c r="L912" s="49"/>
      <c r="M912" s="48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</row>
    <row r="913">
      <c r="A913" s="6"/>
      <c r="B913" s="47"/>
      <c r="C913" s="6"/>
      <c r="D913" s="6"/>
      <c r="E913" s="6"/>
      <c r="F913" s="6"/>
      <c r="G913" s="48"/>
      <c r="H913" s="48"/>
      <c r="I913" s="49"/>
      <c r="J913" s="50"/>
      <c r="K913" s="49"/>
      <c r="L913" s="49"/>
      <c r="M913" s="48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</row>
    <row r="914">
      <c r="A914" s="6"/>
      <c r="B914" s="47"/>
      <c r="C914" s="6"/>
      <c r="D914" s="6"/>
      <c r="E914" s="6"/>
      <c r="F914" s="6"/>
      <c r="G914" s="48"/>
      <c r="H914" s="48"/>
      <c r="I914" s="49"/>
      <c r="J914" s="50"/>
      <c r="K914" s="49"/>
      <c r="L914" s="49"/>
      <c r="M914" s="48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</row>
    <row r="915">
      <c r="A915" s="6"/>
      <c r="B915" s="47"/>
      <c r="C915" s="6"/>
      <c r="D915" s="6"/>
      <c r="E915" s="6"/>
      <c r="F915" s="6"/>
      <c r="G915" s="48"/>
      <c r="H915" s="48"/>
      <c r="I915" s="49"/>
      <c r="J915" s="50"/>
      <c r="K915" s="49"/>
      <c r="L915" s="49"/>
      <c r="M915" s="48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</row>
    <row r="916">
      <c r="A916" s="6"/>
      <c r="B916" s="47"/>
      <c r="C916" s="6"/>
      <c r="D916" s="6"/>
      <c r="E916" s="6"/>
      <c r="F916" s="6"/>
      <c r="G916" s="48"/>
      <c r="H916" s="48"/>
      <c r="I916" s="49"/>
      <c r="J916" s="50"/>
      <c r="K916" s="49"/>
      <c r="L916" s="49"/>
      <c r="M916" s="48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</row>
    <row r="917">
      <c r="A917" s="6"/>
      <c r="B917" s="47"/>
      <c r="C917" s="6"/>
      <c r="D917" s="6"/>
      <c r="E917" s="6"/>
      <c r="F917" s="6"/>
      <c r="G917" s="48"/>
      <c r="H917" s="48"/>
      <c r="I917" s="49"/>
      <c r="J917" s="50"/>
      <c r="K917" s="49"/>
      <c r="L917" s="49"/>
      <c r="M917" s="48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</row>
    <row r="918">
      <c r="A918" s="6"/>
      <c r="B918" s="47"/>
      <c r="C918" s="6"/>
      <c r="D918" s="6"/>
      <c r="E918" s="6"/>
      <c r="F918" s="6"/>
      <c r="G918" s="48"/>
      <c r="H918" s="48"/>
      <c r="I918" s="49"/>
      <c r="J918" s="50"/>
      <c r="K918" s="49"/>
      <c r="L918" s="49"/>
      <c r="M918" s="48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</row>
    <row r="919">
      <c r="A919" s="6"/>
      <c r="B919" s="47"/>
      <c r="C919" s="6"/>
      <c r="D919" s="6"/>
      <c r="E919" s="6"/>
      <c r="F919" s="6"/>
      <c r="G919" s="48"/>
      <c r="H919" s="48"/>
      <c r="I919" s="49"/>
      <c r="J919" s="50"/>
      <c r="K919" s="49"/>
      <c r="L919" s="49"/>
      <c r="M919" s="48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</row>
    <row r="920">
      <c r="A920" s="6"/>
      <c r="B920" s="47"/>
      <c r="C920" s="6"/>
      <c r="D920" s="6"/>
      <c r="E920" s="6"/>
      <c r="F920" s="6"/>
      <c r="G920" s="48"/>
      <c r="H920" s="48"/>
      <c r="I920" s="49"/>
      <c r="J920" s="50"/>
      <c r="K920" s="49"/>
      <c r="L920" s="49"/>
      <c r="M920" s="48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</row>
    <row r="921">
      <c r="A921" s="6"/>
      <c r="B921" s="47"/>
      <c r="C921" s="6"/>
      <c r="D921" s="6"/>
      <c r="E921" s="6"/>
      <c r="F921" s="6"/>
      <c r="G921" s="48"/>
      <c r="H921" s="48"/>
      <c r="I921" s="49"/>
      <c r="J921" s="50"/>
      <c r="K921" s="49"/>
      <c r="L921" s="49"/>
      <c r="M921" s="48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</row>
    <row r="922">
      <c r="A922" s="6"/>
      <c r="B922" s="47"/>
      <c r="C922" s="6"/>
      <c r="D922" s="6"/>
      <c r="E922" s="6"/>
      <c r="F922" s="6"/>
      <c r="G922" s="48"/>
      <c r="H922" s="48"/>
      <c r="I922" s="49"/>
      <c r="J922" s="50"/>
      <c r="K922" s="49"/>
      <c r="L922" s="49"/>
      <c r="M922" s="48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</row>
    <row r="923">
      <c r="A923" s="6"/>
      <c r="B923" s="47"/>
      <c r="C923" s="6"/>
      <c r="D923" s="6"/>
      <c r="E923" s="6"/>
      <c r="F923" s="6"/>
      <c r="G923" s="48"/>
      <c r="H923" s="48"/>
      <c r="I923" s="49"/>
      <c r="J923" s="50"/>
      <c r="K923" s="49"/>
      <c r="L923" s="49"/>
      <c r="M923" s="48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</row>
    <row r="924">
      <c r="A924" s="6"/>
      <c r="B924" s="47"/>
      <c r="C924" s="6"/>
      <c r="D924" s="6"/>
      <c r="E924" s="6"/>
      <c r="F924" s="6"/>
      <c r="G924" s="48"/>
      <c r="H924" s="48"/>
      <c r="I924" s="49"/>
      <c r="J924" s="50"/>
      <c r="K924" s="49"/>
      <c r="L924" s="49"/>
      <c r="M924" s="48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</row>
    <row r="925">
      <c r="A925" s="6"/>
      <c r="B925" s="47"/>
      <c r="C925" s="6"/>
      <c r="D925" s="6"/>
      <c r="E925" s="6"/>
      <c r="F925" s="6"/>
      <c r="G925" s="48"/>
      <c r="H925" s="48"/>
      <c r="I925" s="49"/>
      <c r="J925" s="50"/>
      <c r="K925" s="49"/>
      <c r="L925" s="49"/>
      <c r="M925" s="48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</row>
    <row r="926">
      <c r="A926" s="6"/>
      <c r="B926" s="47"/>
      <c r="C926" s="6"/>
      <c r="D926" s="6"/>
      <c r="E926" s="6"/>
      <c r="F926" s="6"/>
      <c r="G926" s="48"/>
      <c r="H926" s="48"/>
      <c r="I926" s="49"/>
      <c r="J926" s="50"/>
      <c r="K926" s="49"/>
      <c r="L926" s="49"/>
      <c r="M926" s="48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</row>
    <row r="927">
      <c r="A927" s="6"/>
      <c r="B927" s="47"/>
      <c r="C927" s="6"/>
      <c r="D927" s="6"/>
      <c r="E927" s="6"/>
      <c r="F927" s="6"/>
      <c r="G927" s="48"/>
      <c r="H927" s="48"/>
      <c r="I927" s="49"/>
      <c r="J927" s="50"/>
      <c r="K927" s="49"/>
      <c r="L927" s="49"/>
      <c r="M927" s="48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</row>
    <row r="928">
      <c r="A928" s="6"/>
      <c r="B928" s="47"/>
      <c r="C928" s="6"/>
      <c r="D928" s="6"/>
      <c r="E928" s="6"/>
      <c r="F928" s="6"/>
      <c r="G928" s="48"/>
      <c r="H928" s="48"/>
      <c r="I928" s="49"/>
      <c r="J928" s="50"/>
      <c r="K928" s="49"/>
      <c r="L928" s="49"/>
      <c r="M928" s="48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</row>
    <row r="929">
      <c r="A929" s="6"/>
      <c r="B929" s="47"/>
      <c r="C929" s="6"/>
      <c r="D929" s="6"/>
      <c r="E929" s="6"/>
      <c r="F929" s="6"/>
      <c r="G929" s="48"/>
      <c r="H929" s="48"/>
      <c r="I929" s="49"/>
      <c r="J929" s="50"/>
      <c r="K929" s="49"/>
      <c r="L929" s="49"/>
      <c r="M929" s="48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</row>
    <row r="930">
      <c r="A930" s="6"/>
      <c r="B930" s="47"/>
      <c r="C930" s="6"/>
      <c r="D930" s="6"/>
      <c r="E930" s="6"/>
      <c r="F930" s="6"/>
      <c r="G930" s="48"/>
      <c r="H930" s="48"/>
      <c r="I930" s="49"/>
      <c r="J930" s="50"/>
      <c r="K930" s="49"/>
      <c r="L930" s="49"/>
      <c r="M930" s="48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</row>
    <row r="931">
      <c r="A931" s="6"/>
      <c r="B931" s="47"/>
      <c r="C931" s="6"/>
      <c r="D931" s="6"/>
      <c r="E931" s="6"/>
      <c r="F931" s="6"/>
      <c r="G931" s="48"/>
      <c r="H931" s="48"/>
      <c r="I931" s="49"/>
      <c r="J931" s="50"/>
      <c r="K931" s="49"/>
      <c r="L931" s="49"/>
      <c r="M931" s="48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</row>
    <row r="932">
      <c r="A932" s="6"/>
      <c r="B932" s="47"/>
      <c r="C932" s="6"/>
      <c r="D932" s="6"/>
      <c r="E932" s="6"/>
      <c r="F932" s="6"/>
      <c r="G932" s="48"/>
      <c r="H932" s="48"/>
      <c r="I932" s="49"/>
      <c r="J932" s="50"/>
      <c r="K932" s="49"/>
      <c r="L932" s="49"/>
      <c r="M932" s="48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</row>
    <row r="933">
      <c r="A933" s="6"/>
      <c r="B933" s="47"/>
      <c r="C933" s="6"/>
      <c r="D933" s="6"/>
      <c r="E933" s="6"/>
      <c r="F933" s="6"/>
      <c r="G933" s="48"/>
      <c r="H933" s="48"/>
      <c r="I933" s="49"/>
      <c r="J933" s="50"/>
      <c r="K933" s="49"/>
      <c r="L933" s="49"/>
      <c r="M933" s="48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</row>
    <row r="934">
      <c r="A934" s="6"/>
      <c r="B934" s="47"/>
      <c r="C934" s="6"/>
      <c r="D934" s="6"/>
      <c r="E934" s="6"/>
      <c r="F934" s="6"/>
      <c r="G934" s="48"/>
      <c r="H934" s="48"/>
      <c r="I934" s="49"/>
      <c r="J934" s="50"/>
      <c r="K934" s="49"/>
      <c r="L934" s="49"/>
      <c r="M934" s="48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</row>
    <row r="935">
      <c r="A935" s="6"/>
      <c r="B935" s="47"/>
      <c r="C935" s="6"/>
      <c r="D935" s="6"/>
      <c r="E935" s="6"/>
      <c r="F935" s="6"/>
      <c r="G935" s="48"/>
      <c r="H935" s="48"/>
      <c r="I935" s="49"/>
      <c r="J935" s="50"/>
      <c r="K935" s="49"/>
      <c r="L935" s="49"/>
      <c r="M935" s="48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</row>
    <row r="936">
      <c r="A936" s="6"/>
      <c r="B936" s="47"/>
      <c r="C936" s="6"/>
      <c r="D936" s="6"/>
      <c r="E936" s="6"/>
      <c r="F936" s="6"/>
      <c r="G936" s="48"/>
      <c r="H936" s="48"/>
      <c r="I936" s="49"/>
      <c r="J936" s="50"/>
      <c r="K936" s="49"/>
      <c r="L936" s="49"/>
      <c r="M936" s="48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</row>
    <row r="937">
      <c r="A937" s="6"/>
      <c r="B937" s="47"/>
      <c r="C937" s="6"/>
      <c r="D937" s="6"/>
      <c r="E937" s="6"/>
      <c r="F937" s="6"/>
      <c r="G937" s="48"/>
      <c r="H937" s="48"/>
      <c r="I937" s="49"/>
      <c r="J937" s="50"/>
      <c r="K937" s="49"/>
      <c r="L937" s="49"/>
      <c r="M937" s="48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</row>
    <row r="938">
      <c r="A938" s="6"/>
      <c r="B938" s="47"/>
      <c r="C938" s="6"/>
      <c r="D938" s="6"/>
      <c r="E938" s="6"/>
      <c r="F938" s="6"/>
      <c r="G938" s="48"/>
      <c r="H938" s="48"/>
      <c r="I938" s="49"/>
      <c r="J938" s="50"/>
      <c r="K938" s="49"/>
      <c r="L938" s="49"/>
      <c r="M938" s="48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</row>
    <row r="939">
      <c r="A939" s="6"/>
      <c r="B939" s="47"/>
      <c r="C939" s="6"/>
      <c r="D939" s="6"/>
      <c r="E939" s="6"/>
      <c r="F939" s="6"/>
      <c r="G939" s="48"/>
      <c r="H939" s="48"/>
      <c r="I939" s="49"/>
      <c r="J939" s="50"/>
      <c r="K939" s="49"/>
      <c r="L939" s="49"/>
      <c r="M939" s="48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</row>
    <row r="940">
      <c r="A940" s="6"/>
      <c r="B940" s="47"/>
      <c r="C940" s="6"/>
      <c r="D940" s="6"/>
      <c r="E940" s="6"/>
      <c r="F940" s="6"/>
      <c r="G940" s="48"/>
      <c r="H940" s="48"/>
      <c r="I940" s="49"/>
      <c r="J940" s="50"/>
      <c r="K940" s="49"/>
      <c r="L940" s="49"/>
      <c r="M940" s="48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</row>
    <row r="941">
      <c r="A941" s="6"/>
      <c r="B941" s="47"/>
      <c r="C941" s="6"/>
      <c r="D941" s="6"/>
      <c r="E941" s="6"/>
      <c r="F941" s="6"/>
      <c r="G941" s="48"/>
      <c r="H941" s="48"/>
      <c r="I941" s="49"/>
      <c r="J941" s="50"/>
      <c r="K941" s="49"/>
      <c r="L941" s="49"/>
      <c r="M941" s="48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</row>
    <row r="942">
      <c r="A942" s="6"/>
      <c r="B942" s="47"/>
      <c r="C942" s="6"/>
      <c r="D942" s="6"/>
      <c r="E942" s="6"/>
      <c r="F942" s="6"/>
      <c r="G942" s="48"/>
      <c r="H942" s="48"/>
      <c r="I942" s="49"/>
      <c r="J942" s="50"/>
      <c r="K942" s="49"/>
      <c r="L942" s="49"/>
      <c r="M942" s="48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</row>
    <row r="943">
      <c r="A943" s="6"/>
      <c r="B943" s="47"/>
      <c r="C943" s="6"/>
      <c r="D943" s="6"/>
      <c r="E943" s="6"/>
      <c r="F943" s="6"/>
      <c r="G943" s="48"/>
      <c r="H943" s="48"/>
      <c r="I943" s="49"/>
      <c r="J943" s="50"/>
      <c r="K943" s="49"/>
      <c r="L943" s="49"/>
      <c r="M943" s="48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</row>
    <row r="944">
      <c r="A944" s="6"/>
      <c r="B944" s="47"/>
      <c r="C944" s="6"/>
      <c r="D944" s="6"/>
      <c r="E944" s="6"/>
      <c r="F944" s="6"/>
      <c r="G944" s="48"/>
      <c r="H944" s="48"/>
      <c r="I944" s="49"/>
      <c r="J944" s="50"/>
      <c r="K944" s="49"/>
      <c r="L944" s="49"/>
      <c r="M944" s="48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</row>
    <row r="945">
      <c r="A945" s="6"/>
      <c r="B945" s="47"/>
      <c r="C945" s="6"/>
      <c r="D945" s="6"/>
      <c r="E945" s="6"/>
      <c r="F945" s="6"/>
      <c r="G945" s="48"/>
      <c r="H945" s="48"/>
      <c r="I945" s="49"/>
      <c r="J945" s="50"/>
      <c r="K945" s="49"/>
      <c r="L945" s="49"/>
      <c r="M945" s="48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</row>
    <row r="946">
      <c r="A946" s="6"/>
      <c r="B946" s="47"/>
      <c r="C946" s="6"/>
      <c r="D946" s="6"/>
      <c r="E946" s="6"/>
      <c r="F946" s="6"/>
      <c r="G946" s="48"/>
      <c r="H946" s="48"/>
      <c r="I946" s="49"/>
      <c r="J946" s="50"/>
      <c r="K946" s="49"/>
      <c r="L946" s="49"/>
      <c r="M946" s="48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</row>
    <row r="947">
      <c r="A947" s="6"/>
      <c r="B947" s="47"/>
      <c r="C947" s="6"/>
      <c r="D947" s="6"/>
      <c r="E947" s="6"/>
      <c r="F947" s="6"/>
      <c r="G947" s="48"/>
      <c r="H947" s="48"/>
      <c r="I947" s="49"/>
      <c r="J947" s="50"/>
      <c r="K947" s="49"/>
      <c r="L947" s="49"/>
      <c r="M947" s="48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</row>
    <row r="948">
      <c r="A948" s="6"/>
      <c r="B948" s="47"/>
      <c r="C948" s="6"/>
      <c r="D948" s="6"/>
      <c r="E948" s="6"/>
      <c r="F948" s="6"/>
      <c r="G948" s="48"/>
      <c r="H948" s="48"/>
      <c r="I948" s="49"/>
      <c r="J948" s="50"/>
      <c r="K948" s="49"/>
      <c r="L948" s="49"/>
      <c r="M948" s="48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</row>
    <row r="949">
      <c r="A949" s="6"/>
      <c r="B949" s="47"/>
      <c r="C949" s="6"/>
      <c r="D949" s="6"/>
      <c r="E949" s="6"/>
      <c r="F949" s="6"/>
      <c r="G949" s="48"/>
      <c r="H949" s="48"/>
      <c r="I949" s="49"/>
      <c r="J949" s="50"/>
      <c r="K949" s="49"/>
      <c r="L949" s="49"/>
      <c r="M949" s="48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</row>
    <row r="950">
      <c r="A950" s="6"/>
      <c r="B950" s="47"/>
      <c r="C950" s="6"/>
      <c r="D950" s="6"/>
      <c r="E950" s="6"/>
      <c r="F950" s="6"/>
      <c r="G950" s="48"/>
      <c r="H950" s="48"/>
      <c r="I950" s="49"/>
      <c r="J950" s="50"/>
      <c r="K950" s="49"/>
      <c r="L950" s="49"/>
      <c r="M950" s="48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</row>
    <row r="951">
      <c r="A951" s="6"/>
      <c r="B951" s="47"/>
      <c r="C951" s="6"/>
      <c r="D951" s="6"/>
      <c r="E951" s="6"/>
      <c r="F951" s="6"/>
      <c r="G951" s="48"/>
      <c r="H951" s="48"/>
      <c r="I951" s="49"/>
      <c r="J951" s="50"/>
      <c r="K951" s="49"/>
      <c r="L951" s="49"/>
      <c r="M951" s="48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</row>
    <row r="952">
      <c r="A952" s="6"/>
      <c r="B952" s="47"/>
      <c r="C952" s="6"/>
      <c r="D952" s="6"/>
      <c r="E952" s="6"/>
      <c r="F952" s="6"/>
      <c r="G952" s="48"/>
      <c r="H952" s="48"/>
      <c r="I952" s="49"/>
      <c r="J952" s="50"/>
      <c r="K952" s="49"/>
      <c r="L952" s="49"/>
      <c r="M952" s="48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</row>
    <row r="953">
      <c r="A953" s="6"/>
      <c r="B953" s="47"/>
      <c r="C953" s="6"/>
      <c r="D953" s="6"/>
      <c r="E953" s="6"/>
      <c r="F953" s="6"/>
      <c r="G953" s="48"/>
      <c r="H953" s="48"/>
      <c r="I953" s="49"/>
      <c r="J953" s="50"/>
      <c r="K953" s="49"/>
      <c r="L953" s="49"/>
      <c r="M953" s="48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</row>
    <row r="954">
      <c r="A954" s="6"/>
      <c r="B954" s="47"/>
      <c r="C954" s="6"/>
      <c r="D954" s="6"/>
      <c r="E954" s="6"/>
      <c r="F954" s="6"/>
      <c r="G954" s="48"/>
      <c r="H954" s="48"/>
      <c r="I954" s="49"/>
      <c r="J954" s="50"/>
      <c r="K954" s="49"/>
      <c r="L954" s="49"/>
      <c r="M954" s="48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</row>
    <row r="955">
      <c r="A955" s="6"/>
      <c r="B955" s="47"/>
      <c r="C955" s="6"/>
      <c r="D955" s="6"/>
      <c r="E955" s="6"/>
      <c r="F955" s="6"/>
      <c r="G955" s="48"/>
      <c r="H955" s="48"/>
      <c r="I955" s="49"/>
      <c r="J955" s="50"/>
      <c r="K955" s="49"/>
      <c r="L955" s="49"/>
      <c r="M955" s="48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</row>
    <row r="956">
      <c r="A956" s="6"/>
      <c r="B956" s="47"/>
      <c r="C956" s="6"/>
      <c r="D956" s="6"/>
      <c r="E956" s="6"/>
      <c r="F956" s="6"/>
      <c r="G956" s="48"/>
      <c r="H956" s="48"/>
      <c r="I956" s="49"/>
      <c r="J956" s="50"/>
      <c r="K956" s="49"/>
      <c r="L956" s="49"/>
      <c r="M956" s="48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</row>
    <row r="957">
      <c r="A957" s="6"/>
      <c r="B957" s="47"/>
      <c r="C957" s="6"/>
      <c r="D957" s="6"/>
      <c r="E957" s="6"/>
      <c r="F957" s="6"/>
      <c r="G957" s="48"/>
      <c r="H957" s="48"/>
      <c r="I957" s="49"/>
      <c r="J957" s="50"/>
      <c r="K957" s="49"/>
      <c r="L957" s="49"/>
      <c r="M957" s="48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</row>
    <row r="958">
      <c r="A958" s="6"/>
      <c r="B958" s="47"/>
      <c r="C958" s="6"/>
      <c r="D958" s="6"/>
      <c r="E958" s="6"/>
      <c r="F958" s="6"/>
      <c r="G958" s="48"/>
      <c r="H958" s="48"/>
      <c r="I958" s="49"/>
      <c r="J958" s="50"/>
      <c r="K958" s="49"/>
      <c r="L958" s="49"/>
      <c r="M958" s="48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</row>
    <row r="959">
      <c r="A959" s="6"/>
      <c r="B959" s="47"/>
      <c r="C959" s="6"/>
      <c r="D959" s="6"/>
      <c r="E959" s="6"/>
      <c r="F959" s="6"/>
      <c r="G959" s="48"/>
      <c r="H959" s="48"/>
      <c r="I959" s="49"/>
      <c r="J959" s="50"/>
      <c r="K959" s="49"/>
      <c r="L959" s="49"/>
      <c r="M959" s="48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</row>
    <row r="960">
      <c r="A960" s="6"/>
      <c r="B960" s="47"/>
      <c r="C960" s="6"/>
      <c r="D960" s="6"/>
      <c r="E960" s="6"/>
      <c r="F960" s="6"/>
      <c r="G960" s="48"/>
      <c r="H960" s="48"/>
      <c r="I960" s="49"/>
      <c r="J960" s="50"/>
      <c r="K960" s="49"/>
      <c r="L960" s="49"/>
      <c r="M960" s="48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</row>
    <row r="961">
      <c r="A961" s="6"/>
      <c r="B961" s="47"/>
      <c r="C961" s="6"/>
      <c r="D961" s="6"/>
      <c r="E961" s="6"/>
      <c r="F961" s="6"/>
      <c r="G961" s="48"/>
      <c r="H961" s="48"/>
      <c r="I961" s="49"/>
      <c r="J961" s="50"/>
      <c r="K961" s="49"/>
      <c r="L961" s="49"/>
      <c r="M961" s="48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</row>
    <row r="962">
      <c r="A962" s="6"/>
      <c r="B962" s="47"/>
      <c r="C962" s="6"/>
      <c r="D962" s="6"/>
      <c r="E962" s="6"/>
      <c r="F962" s="6"/>
      <c r="G962" s="48"/>
      <c r="H962" s="48"/>
      <c r="I962" s="49"/>
      <c r="J962" s="50"/>
      <c r="K962" s="49"/>
      <c r="L962" s="49"/>
      <c r="M962" s="48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</row>
    <row r="963">
      <c r="A963" s="6"/>
      <c r="B963" s="47"/>
      <c r="C963" s="6"/>
      <c r="D963" s="6"/>
      <c r="E963" s="6"/>
      <c r="F963" s="6"/>
      <c r="G963" s="48"/>
      <c r="H963" s="48"/>
      <c r="I963" s="49"/>
      <c r="J963" s="50"/>
      <c r="K963" s="49"/>
      <c r="L963" s="49"/>
      <c r="M963" s="48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</row>
    <row r="964">
      <c r="A964" s="6"/>
      <c r="B964" s="47"/>
      <c r="C964" s="6"/>
      <c r="D964" s="6"/>
      <c r="E964" s="6"/>
      <c r="F964" s="6"/>
      <c r="G964" s="48"/>
      <c r="H964" s="48"/>
      <c r="I964" s="49"/>
      <c r="J964" s="50"/>
      <c r="K964" s="49"/>
      <c r="L964" s="49"/>
      <c r="M964" s="48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</row>
    <row r="965">
      <c r="A965" s="6"/>
      <c r="B965" s="47"/>
      <c r="C965" s="6"/>
      <c r="D965" s="6"/>
      <c r="E965" s="6"/>
      <c r="F965" s="6"/>
      <c r="G965" s="48"/>
      <c r="H965" s="48"/>
      <c r="I965" s="49"/>
      <c r="J965" s="50"/>
      <c r="K965" s="49"/>
      <c r="L965" s="49"/>
      <c r="M965" s="48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</row>
    <row r="966">
      <c r="A966" s="6"/>
      <c r="B966" s="47"/>
      <c r="C966" s="6"/>
      <c r="D966" s="6"/>
      <c r="E966" s="6"/>
      <c r="F966" s="6"/>
      <c r="G966" s="48"/>
      <c r="H966" s="48"/>
      <c r="I966" s="49"/>
      <c r="J966" s="50"/>
      <c r="K966" s="49"/>
      <c r="L966" s="49"/>
      <c r="M966" s="48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</row>
    <row r="967">
      <c r="A967" s="6"/>
      <c r="B967" s="47"/>
      <c r="C967" s="6"/>
      <c r="D967" s="6"/>
      <c r="E967" s="6"/>
      <c r="F967" s="6"/>
      <c r="G967" s="48"/>
      <c r="H967" s="48"/>
      <c r="I967" s="49"/>
      <c r="J967" s="50"/>
      <c r="K967" s="49"/>
      <c r="L967" s="49"/>
      <c r="M967" s="48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</row>
    <row r="968">
      <c r="A968" s="6"/>
      <c r="B968" s="47"/>
      <c r="C968" s="6"/>
      <c r="D968" s="6"/>
      <c r="E968" s="6"/>
      <c r="F968" s="6"/>
      <c r="G968" s="48"/>
      <c r="H968" s="48"/>
      <c r="I968" s="49"/>
      <c r="J968" s="50"/>
      <c r="K968" s="49"/>
      <c r="L968" s="49"/>
      <c r="M968" s="48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</row>
    <row r="969">
      <c r="A969" s="6"/>
      <c r="B969" s="47"/>
      <c r="C969" s="6"/>
      <c r="D969" s="6"/>
      <c r="E969" s="6"/>
      <c r="F969" s="6"/>
      <c r="G969" s="48"/>
      <c r="H969" s="48"/>
      <c r="I969" s="49"/>
      <c r="J969" s="50"/>
      <c r="K969" s="49"/>
      <c r="L969" s="49"/>
      <c r="M969" s="48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</row>
    <row r="970">
      <c r="A970" s="6"/>
      <c r="B970" s="47"/>
      <c r="C970" s="6"/>
      <c r="D970" s="6"/>
      <c r="E970" s="6"/>
      <c r="F970" s="6"/>
      <c r="G970" s="48"/>
      <c r="H970" s="48"/>
      <c r="I970" s="49"/>
      <c r="J970" s="50"/>
      <c r="K970" s="49"/>
      <c r="L970" s="49"/>
      <c r="M970" s="48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</row>
    <row r="971">
      <c r="A971" s="6"/>
      <c r="B971" s="47"/>
      <c r="C971" s="6"/>
      <c r="D971" s="6"/>
      <c r="E971" s="6"/>
      <c r="F971" s="6"/>
      <c r="G971" s="48"/>
      <c r="H971" s="48"/>
      <c r="I971" s="49"/>
      <c r="J971" s="50"/>
      <c r="K971" s="49"/>
      <c r="L971" s="49"/>
      <c r="M971" s="48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</row>
    <row r="972">
      <c r="A972" s="6"/>
      <c r="B972" s="47"/>
      <c r="C972" s="6"/>
      <c r="D972" s="6"/>
      <c r="E972" s="6"/>
      <c r="F972" s="6"/>
      <c r="G972" s="48"/>
      <c r="H972" s="48"/>
      <c r="I972" s="49"/>
      <c r="J972" s="50"/>
      <c r="K972" s="49"/>
      <c r="L972" s="49"/>
      <c r="M972" s="48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</row>
    <row r="973">
      <c r="A973" s="6"/>
      <c r="B973" s="47"/>
      <c r="C973" s="6"/>
      <c r="D973" s="6"/>
      <c r="E973" s="6"/>
      <c r="F973" s="6"/>
      <c r="G973" s="48"/>
      <c r="H973" s="48"/>
      <c r="I973" s="49"/>
      <c r="J973" s="50"/>
      <c r="K973" s="49"/>
      <c r="L973" s="49"/>
      <c r="M973" s="48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</row>
    <row r="974">
      <c r="A974" s="6"/>
      <c r="B974" s="47"/>
      <c r="C974" s="6"/>
      <c r="D974" s="6"/>
      <c r="E974" s="6"/>
      <c r="F974" s="6"/>
      <c r="G974" s="48"/>
      <c r="H974" s="48"/>
      <c r="I974" s="49"/>
      <c r="J974" s="50"/>
      <c r="K974" s="49"/>
      <c r="L974" s="49"/>
      <c r="M974" s="48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</row>
    <row r="975">
      <c r="A975" s="6"/>
      <c r="B975" s="47"/>
      <c r="C975" s="6"/>
      <c r="D975" s="6"/>
      <c r="E975" s="6"/>
      <c r="F975" s="6"/>
      <c r="G975" s="48"/>
      <c r="H975" s="48"/>
      <c r="I975" s="49"/>
      <c r="J975" s="50"/>
      <c r="K975" s="49"/>
      <c r="L975" s="49"/>
      <c r="M975" s="48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</row>
    <row r="976">
      <c r="A976" s="6"/>
      <c r="B976" s="47"/>
      <c r="C976" s="6"/>
      <c r="D976" s="6"/>
      <c r="E976" s="6"/>
      <c r="F976" s="6"/>
      <c r="G976" s="48"/>
      <c r="H976" s="48"/>
      <c r="I976" s="49"/>
      <c r="J976" s="50"/>
      <c r="K976" s="49"/>
      <c r="L976" s="49"/>
      <c r="M976" s="48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</row>
    <row r="977">
      <c r="A977" s="6"/>
      <c r="B977" s="47"/>
      <c r="C977" s="6"/>
      <c r="D977" s="6"/>
      <c r="E977" s="6"/>
      <c r="F977" s="6"/>
      <c r="G977" s="48"/>
      <c r="H977" s="48"/>
      <c r="I977" s="49"/>
      <c r="J977" s="50"/>
      <c r="K977" s="49"/>
      <c r="L977" s="49"/>
      <c r="M977" s="48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</row>
    <row r="978">
      <c r="A978" s="6"/>
      <c r="B978" s="47"/>
      <c r="C978" s="6"/>
      <c r="D978" s="6"/>
      <c r="E978" s="6"/>
      <c r="F978" s="6"/>
      <c r="G978" s="48"/>
      <c r="H978" s="48"/>
      <c r="I978" s="49"/>
      <c r="J978" s="50"/>
      <c r="K978" s="49"/>
      <c r="L978" s="49"/>
      <c r="M978" s="48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</row>
    <row r="979">
      <c r="A979" s="6"/>
      <c r="B979" s="47"/>
      <c r="C979" s="6"/>
      <c r="D979" s="6"/>
      <c r="E979" s="6"/>
      <c r="F979" s="6"/>
      <c r="G979" s="48"/>
      <c r="H979" s="48"/>
      <c r="I979" s="49"/>
      <c r="J979" s="50"/>
      <c r="K979" s="49"/>
      <c r="L979" s="49"/>
      <c r="M979" s="48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</row>
    <row r="980">
      <c r="A980" s="6"/>
      <c r="B980" s="47"/>
      <c r="C980" s="6"/>
      <c r="D980" s="6"/>
      <c r="E980" s="6"/>
      <c r="F980" s="6"/>
      <c r="G980" s="48"/>
      <c r="H980" s="48"/>
      <c r="I980" s="49"/>
      <c r="J980" s="50"/>
      <c r="K980" s="49"/>
      <c r="L980" s="49"/>
      <c r="M980" s="48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</row>
    <row r="981">
      <c r="A981" s="6"/>
      <c r="B981" s="47"/>
      <c r="C981" s="6"/>
      <c r="D981" s="6"/>
      <c r="E981" s="6"/>
      <c r="F981" s="6"/>
      <c r="G981" s="48"/>
      <c r="H981" s="48"/>
      <c r="I981" s="49"/>
      <c r="J981" s="50"/>
      <c r="K981" s="49"/>
      <c r="L981" s="49"/>
      <c r="M981" s="48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</row>
    <row r="982">
      <c r="A982" s="6"/>
      <c r="B982" s="47"/>
      <c r="C982" s="6"/>
      <c r="D982" s="6"/>
      <c r="E982" s="6"/>
      <c r="F982" s="6"/>
      <c r="G982" s="48"/>
      <c r="H982" s="48"/>
      <c r="I982" s="51"/>
      <c r="J982" s="52"/>
      <c r="K982" s="53"/>
      <c r="L982" s="49"/>
      <c r="M982" s="48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</row>
  </sheetData>
  <autoFilter ref="$A$2:$M$609"/>
  <conditionalFormatting sqref="L1:L982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ataValidations>
    <dataValidation type="list" allowBlank="1" showErrorMessage="1" sqref="C3:C296">
      <formula1>"Communications,Consumer Discretionary,Consumer Staples,Energy,Financials,Healthcare,Industrials,Information Technology,Materials,Other / Mixed,Real Estate,Utilities"</formula1>
    </dataValidation>
  </dataValidations>
  <hyperlinks>
    <hyperlink r:id="rId1" ref="B4"/>
    <hyperlink r:id="rId2" ref="B26"/>
    <hyperlink r:id="rId3" ref="B110"/>
    <hyperlink r:id="rId4" ref="B360"/>
    <hyperlink r:id="rId5" ref="B491"/>
    <hyperlink r:id="rId6" ref="B606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</sheetData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25"/>
    <col customWidth="1" min="3" max="3" width="19.63"/>
    <col customWidth="1" min="4" max="4" width="26.5"/>
  </cols>
  <sheetData>
    <row r="1">
      <c r="A1" s="54" t="s">
        <v>1100</v>
      </c>
      <c r="B1" s="54" t="s">
        <v>3</v>
      </c>
      <c r="C1" s="54" t="s">
        <v>9</v>
      </c>
      <c r="D1" s="54" t="s">
        <v>1037</v>
      </c>
    </row>
    <row r="2">
      <c r="A2" s="54" t="b">
        <v>0</v>
      </c>
      <c r="B2" s="54" t="s">
        <v>15</v>
      </c>
      <c r="C2" s="54" t="s">
        <v>19</v>
      </c>
      <c r="D2" s="54" t="s">
        <v>1038</v>
      </c>
    </row>
    <row r="3">
      <c r="A3" s="54" t="b">
        <v>0</v>
      </c>
      <c r="B3" s="54" t="s">
        <v>21</v>
      </c>
      <c r="C3" s="54" t="s">
        <v>24</v>
      </c>
      <c r="D3" s="54" t="s">
        <v>1039</v>
      </c>
    </row>
    <row r="4">
      <c r="A4" s="54" t="b">
        <v>0</v>
      </c>
      <c r="B4" s="55">
        <v>0.25</v>
      </c>
      <c r="C4" s="54" t="s">
        <v>27</v>
      </c>
    </row>
    <row r="5">
      <c r="A5" s="54" t="b">
        <v>0</v>
      </c>
      <c r="B5" s="54" t="s">
        <v>28</v>
      </c>
      <c r="C5" s="54" t="s">
        <v>31</v>
      </c>
      <c r="D5" s="54" t="s">
        <v>1040</v>
      </c>
    </row>
    <row r="6">
      <c r="A6" s="54" t="b">
        <v>0</v>
      </c>
      <c r="B6" s="54" t="s">
        <v>33</v>
      </c>
      <c r="C6" s="54" t="s">
        <v>35</v>
      </c>
      <c r="D6" s="54" t="s">
        <v>1040</v>
      </c>
    </row>
    <row r="7">
      <c r="A7" s="54" t="b">
        <v>0</v>
      </c>
      <c r="B7" s="54" t="s">
        <v>37</v>
      </c>
      <c r="C7" s="54" t="s">
        <v>40</v>
      </c>
      <c r="D7" s="54" t="s">
        <v>1041</v>
      </c>
    </row>
    <row r="8">
      <c r="A8" s="54" t="b">
        <v>0</v>
      </c>
      <c r="B8" s="54" t="s">
        <v>41</v>
      </c>
      <c r="C8" s="54" t="s">
        <v>43</v>
      </c>
      <c r="D8" s="54" t="s">
        <v>1039</v>
      </c>
    </row>
    <row r="9">
      <c r="A9" s="54" t="b">
        <v>0</v>
      </c>
      <c r="B9" s="54" t="s">
        <v>45</v>
      </c>
      <c r="C9" s="54" t="s">
        <v>47</v>
      </c>
      <c r="D9" s="54" t="s">
        <v>1039</v>
      </c>
    </row>
    <row r="10">
      <c r="A10" s="54" t="b">
        <v>0</v>
      </c>
      <c r="B10" s="54" t="s">
        <v>48</v>
      </c>
      <c r="C10" s="54" t="s">
        <v>49</v>
      </c>
      <c r="D10" s="54" t="s">
        <v>1042</v>
      </c>
    </row>
    <row r="11">
      <c r="A11" s="54" t="b">
        <v>0</v>
      </c>
      <c r="B11" s="54" t="s">
        <v>50</v>
      </c>
      <c r="C11" s="54" t="s">
        <v>51</v>
      </c>
      <c r="D11" s="54" t="s">
        <v>1043</v>
      </c>
    </row>
    <row r="12">
      <c r="A12" s="54" t="b">
        <v>0</v>
      </c>
      <c r="B12" s="54" t="s">
        <v>52</v>
      </c>
      <c r="C12" s="54" t="s">
        <v>53</v>
      </c>
      <c r="D12" s="54" t="s">
        <v>1044</v>
      </c>
    </row>
    <row r="13">
      <c r="A13" s="54" t="b">
        <v>0</v>
      </c>
      <c r="B13" s="54" t="s">
        <v>55</v>
      </c>
      <c r="C13" s="54" t="s">
        <v>57</v>
      </c>
      <c r="D13" s="54" t="s">
        <v>1041</v>
      </c>
    </row>
    <row r="14">
      <c r="A14" s="54" t="b">
        <v>0</v>
      </c>
      <c r="B14" s="54" t="s">
        <v>58</v>
      </c>
      <c r="C14" s="54" t="s">
        <v>59</v>
      </c>
      <c r="D14" s="54" t="s">
        <v>1041</v>
      </c>
    </row>
    <row r="15">
      <c r="A15" s="54" t="b">
        <v>0</v>
      </c>
      <c r="B15" s="54" t="s">
        <v>60</v>
      </c>
      <c r="C15" s="54" t="s">
        <v>61</v>
      </c>
    </row>
    <row r="16">
      <c r="A16" s="54" t="b">
        <v>1</v>
      </c>
      <c r="B16" s="54" t="s">
        <v>63</v>
      </c>
      <c r="C16" s="54" t="s">
        <v>66</v>
      </c>
      <c r="D16" s="54" t="s">
        <v>1041</v>
      </c>
    </row>
    <row r="17">
      <c r="A17" s="54" t="b">
        <v>0</v>
      </c>
      <c r="B17" s="54" t="s">
        <v>67</v>
      </c>
      <c r="C17" s="54" t="s">
        <v>68</v>
      </c>
      <c r="D17" s="54" t="s">
        <v>1045</v>
      </c>
    </row>
    <row r="18">
      <c r="A18" s="54" t="b">
        <v>0</v>
      </c>
      <c r="B18" s="54" t="s">
        <v>69</v>
      </c>
      <c r="C18" s="54" t="s">
        <v>70</v>
      </c>
      <c r="D18" s="54" t="s">
        <v>1039</v>
      </c>
    </row>
    <row r="19">
      <c r="A19" s="54" t="b">
        <v>1</v>
      </c>
      <c r="B19" s="54" t="s">
        <v>71</v>
      </c>
      <c r="C19" s="54" t="s">
        <v>73</v>
      </c>
      <c r="D19" s="54" t="s">
        <v>1046</v>
      </c>
    </row>
    <row r="20">
      <c r="A20" s="54" t="b">
        <v>1</v>
      </c>
      <c r="B20" s="54" t="s">
        <v>74</v>
      </c>
      <c r="C20" s="54" t="s">
        <v>73</v>
      </c>
      <c r="D20" s="54" t="s">
        <v>1039</v>
      </c>
    </row>
    <row r="21">
      <c r="A21" s="54" t="b">
        <v>0</v>
      </c>
      <c r="B21" s="54" t="s">
        <v>75</v>
      </c>
      <c r="C21" s="54" t="s">
        <v>76</v>
      </c>
      <c r="D21" s="54" t="s">
        <v>1039</v>
      </c>
    </row>
    <row r="22">
      <c r="A22" s="54" t="b">
        <v>0</v>
      </c>
      <c r="B22" s="54" t="s">
        <v>78</v>
      </c>
      <c r="C22" s="54" t="s">
        <v>80</v>
      </c>
      <c r="D22" s="54" t="s">
        <v>1039</v>
      </c>
    </row>
    <row r="23">
      <c r="A23" s="54" t="b">
        <v>0</v>
      </c>
      <c r="B23" s="54" t="s">
        <v>82</v>
      </c>
      <c r="C23" s="54" t="s">
        <v>83</v>
      </c>
      <c r="D23" s="54" t="s">
        <v>1044</v>
      </c>
    </row>
    <row r="24">
      <c r="A24" s="54" t="b">
        <v>0</v>
      </c>
      <c r="B24" s="54" t="s">
        <v>84</v>
      </c>
      <c r="C24" s="54" t="s">
        <v>66</v>
      </c>
      <c r="D24" s="54" t="s">
        <v>1041</v>
      </c>
    </row>
    <row r="25">
      <c r="A25" s="54" t="b">
        <v>0</v>
      </c>
      <c r="B25" s="63" t="s">
        <v>87</v>
      </c>
      <c r="C25" s="54" t="s">
        <v>88</v>
      </c>
      <c r="D25" s="54" t="s">
        <v>1039</v>
      </c>
    </row>
    <row r="26">
      <c r="A26" s="54" t="b">
        <v>0</v>
      </c>
      <c r="B26" s="54" t="s">
        <v>89</v>
      </c>
      <c r="C26" s="54" t="s">
        <v>90</v>
      </c>
      <c r="D26" s="54" t="s">
        <v>1047</v>
      </c>
    </row>
    <row r="27">
      <c r="A27" s="54" t="b">
        <v>1</v>
      </c>
      <c r="B27" s="54" t="s">
        <v>91</v>
      </c>
      <c r="C27" s="54" t="s">
        <v>92</v>
      </c>
      <c r="D27" s="54" t="s">
        <v>1041</v>
      </c>
    </row>
    <row r="28">
      <c r="A28" s="54" t="b">
        <v>0</v>
      </c>
      <c r="B28" s="54" t="s">
        <v>93</v>
      </c>
      <c r="C28" s="54" t="s">
        <v>70</v>
      </c>
      <c r="D28" s="54" t="s">
        <v>1048</v>
      </c>
    </row>
    <row r="29">
      <c r="A29" s="54" t="b">
        <v>0</v>
      </c>
      <c r="B29" s="54" t="s">
        <v>94</v>
      </c>
      <c r="C29" s="54" t="s">
        <v>95</v>
      </c>
      <c r="D29" s="54" t="s">
        <v>1044</v>
      </c>
    </row>
    <row r="30">
      <c r="A30" s="54" t="b">
        <v>0</v>
      </c>
      <c r="B30" s="54" t="s">
        <v>97</v>
      </c>
      <c r="C30" s="54" t="s">
        <v>98</v>
      </c>
      <c r="D30" s="54" t="s">
        <v>1044</v>
      </c>
    </row>
    <row r="31">
      <c r="A31" s="54" t="b">
        <v>0</v>
      </c>
      <c r="B31" s="54" t="s">
        <v>99</v>
      </c>
      <c r="C31" s="54" t="s">
        <v>100</v>
      </c>
    </row>
    <row r="32">
      <c r="A32" s="54" t="b">
        <v>0</v>
      </c>
      <c r="B32" s="54" t="s">
        <v>101</v>
      </c>
      <c r="C32" s="54" t="s">
        <v>102</v>
      </c>
    </row>
    <row r="33">
      <c r="A33" s="54" t="b">
        <v>0</v>
      </c>
      <c r="B33" s="54" t="s">
        <v>103</v>
      </c>
      <c r="C33" s="54" t="s">
        <v>104</v>
      </c>
      <c r="D33" s="54" t="s">
        <v>1049</v>
      </c>
    </row>
    <row r="34">
      <c r="A34" s="54" t="b">
        <v>0</v>
      </c>
      <c r="B34" s="54" t="s">
        <v>105</v>
      </c>
      <c r="C34" s="54" t="s">
        <v>83</v>
      </c>
      <c r="D34" s="54" t="s">
        <v>1039</v>
      </c>
    </row>
    <row r="35">
      <c r="A35" s="54" t="b">
        <v>0</v>
      </c>
      <c r="B35" s="54" t="s">
        <v>106</v>
      </c>
      <c r="C35" s="54" t="s">
        <v>107</v>
      </c>
      <c r="D35" s="54" t="s">
        <v>1040</v>
      </c>
    </row>
    <row r="36">
      <c r="A36" s="54" t="b">
        <v>1</v>
      </c>
      <c r="B36" s="54" t="s">
        <v>108</v>
      </c>
      <c r="C36" s="54" t="s">
        <v>109</v>
      </c>
      <c r="D36" s="54" t="s">
        <v>1044</v>
      </c>
    </row>
    <row r="37">
      <c r="A37" s="54" t="b">
        <v>0</v>
      </c>
      <c r="B37" s="54" t="s">
        <v>110</v>
      </c>
      <c r="C37" s="54" t="s">
        <v>112</v>
      </c>
      <c r="D37" s="54" t="s">
        <v>1050</v>
      </c>
    </row>
    <row r="38">
      <c r="A38" s="54" t="b">
        <v>0</v>
      </c>
      <c r="B38" s="54" t="s">
        <v>113</v>
      </c>
      <c r="C38" s="54" t="s">
        <v>31</v>
      </c>
      <c r="D38" s="54" t="s">
        <v>1051</v>
      </c>
    </row>
    <row r="39">
      <c r="A39" s="54" t="b">
        <v>0</v>
      </c>
      <c r="B39" s="54" t="s">
        <v>114</v>
      </c>
      <c r="C39" s="54" t="s">
        <v>115</v>
      </c>
      <c r="D39" s="54" t="s">
        <v>1044</v>
      </c>
    </row>
    <row r="40">
      <c r="A40" s="54" t="b">
        <v>0</v>
      </c>
      <c r="B40" s="54" t="s">
        <v>116</v>
      </c>
      <c r="C40" s="54" t="s">
        <v>117</v>
      </c>
      <c r="D40" s="54" t="s">
        <v>1042</v>
      </c>
    </row>
    <row r="41">
      <c r="A41" s="54" t="b">
        <v>0</v>
      </c>
      <c r="B41" s="54" t="s">
        <v>118</v>
      </c>
      <c r="C41" s="54" t="s">
        <v>119</v>
      </c>
      <c r="D41" s="54" t="s">
        <v>1052</v>
      </c>
    </row>
    <row r="42">
      <c r="A42" s="54" t="b">
        <v>0</v>
      </c>
      <c r="B42" s="54" t="s">
        <v>120</v>
      </c>
      <c r="C42" s="54" t="s">
        <v>73</v>
      </c>
      <c r="D42" s="54" t="s">
        <v>1053</v>
      </c>
    </row>
    <row r="43">
      <c r="A43" s="54" t="b">
        <v>0</v>
      </c>
      <c r="B43" s="54" t="s">
        <v>122</v>
      </c>
      <c r="C43" s="54" t="s">
        <v>123</v>
      </c>
    </row>
    <row r="44">
      <c r="A44" s="54" t="b">
        <v>0</v>
      </c>
      <c r="B44" s="54" t="s">
        <v>124</v>
      </c>
      <c r="C44" s="54" t="s">
        <v>125</v>
      </c>
      <c r="D44" s="54" t="s">
        <v>1054</v>
      </c>
    </row>
    <row r="45">
      <c r="A45" s="54" t="b">
        <v>0</v>
      </c>
      <c r="B45" s="54" t="s">
        <v>126</v>
      </c>
      <c r="C45" s="54" t="s">
        <v>127</v>
      </c>
      <c r="D45" s="54" t="s">
        <v>1045</v>
      </c>
    </row>
    <row r="46">
      <c r="A46" s="54" t="b">
        <v>0</v>
      </c>
      <c r="B46" s="54" t="s">
        <v>128</v>
      </c>
      <c r="C46" s="54" t="s">
        <v>129</v>
      </c>
      <c r="D46" s="54" t="s">
        <v>1055</v>
      </c>
    </row>
    <row r="47">
      <c r="A47" s="54" t="b">
        <v>0</v>
      </c>
      <c r="B47" s="54" t="s">
        <v>130</v>
      </c>
      <c r="C47" s="54" t="s">
        <v>131</v>
      </c>
      <c r="D47" s="54" t="s">
        <v>1042</v>
      </c>
    </row>
    <row r="48">
      <c r="A48" s="54" t="b">
        <v>0</v>
      </c>
      <c r="B48" s="54" t="s">
        <v>132</v>
      </c>
      <c r="C48" s="54" t="s">
        <v>83</v>
      </c>
      <c r="D48" s="54" t="s">
        <v>1044</v>
      </c>
    </row>
    <row r="49">
      <c r="A49" s="54" t="b">
        <v>1</v>
      </c>
      <c r="B49" s="54" t="s">
        <v>133</v>
      </c>
      <c r="C49" s="54" t="s">
        <v>134</v>
      </c>
      <c r="D49" s="54" t="s">
        <v>1056</v>
      </c>
    </row>
    <row r="50">
      <c r="A50" s="54" t="b">
        <v>0</v>
      </c>
      <c r="B50" s="54" t="s">
        <v>135</v>
      </c>
      <c r="C50" s="54" t="s">
        <v>136</v>
      </c>
      <c r="D50" s="54" t="s">
        <v>1039</v>
      </c>
    </row>
    <row r="51">
      <c r="A51" s="54" t="b">
        <v>0</v>
      </c>
      <c r="B51" s="54" t="s">
        <v>137</v>
      </c>
      <c r="C51" s="54" t="s">
        <v>139</v>
      </c>
      <c r="D51" s="54" t="s">
        <v>1044</v>
      </c>
    </row>
    <row r="52">
      <c r="A52" s="54" t="b">
        <v>0</v>
      </c>
      <c r="B52" s="54" t="s">
        <v>140</v>
      </c>
      <c r="C52" s="54" t="s">
        <v>141</v>
      </c>
      <c r="D52" s="54" t="s">
        <v>1039</v>
      </c>
    </row>
    <row r="53">
      <c r="A53" s="54" t="b">
        <v>0</v>
      </c>
      <c r="B53" s="54" t="s">
        <v>142</v>
      </c>
      <c r="C53" s="54" t="s">
        <v>143</v>
      </c>
      <c r="D53" s="54" t="s">
        <v>1039</v>
      </c>
    </row>
    <row r="54">
      <c r="A54" s="54" t="b">
        <v>0</v>
      </c>
      <c r="B54" s="54" t="s">
        <v>144</v>
      </c>
      <c r="C54" s="54" t="s">
        <v>24</v>
      </c>
      <c r="D54" s="54" t="s">
        <v>1039</v>
      </c>
    </row>
    <row r="55">
      <c r="A55" s="54" t="b">
        <v>0</v>
      </c>
      <c r="B55" s="54" t="s">
        <v>145</v>
      </c>
      <c r="C55" s="54" t="s">
        <v>146</v>
      </c>
      <c r="D55" s="54" t="s">
        <v>1039</v>
      </c>
    </row>
    <row r="56">
      <c r="A56" s="54" t="b">
        <v>0</v>
      </c>
      <c r="B56" s="54" t="s">
        <v>147</v>
      </c>
      <c r="C56" s="54" t="s">
        <v>57</v>
      </c>
      <c r="D56" s="54" t="s">
        <v>1041</v>
      </c>
    </row>
    <row r="57">
      <c r="A57" s="54" t="b">
        <v>0</v>
      </c>
      <c r="B57" s="54" t="s">
        <v>148</v>
      </c>
      <c r="C57" s="54" t="s">
        <v>149</v>
      </c>
      <c r="D57" s="54" t="s">
        <v>1047</v>
      </c>
    </row>
    <row r="58">
      <c r="A58" s="54" t="b">
        <v>0</v>
      </c>
      <c r="B58" s="54" t="s">
        <v>150</v>
      </c>
      <c r="C58" s="54" t="s">
        <v>151</v>
      </c>
      <c r="D58" s="54" t="s">
        <v>1049</v>
      </c>
    </row>
    <row r="59">
      <c r="A59" s="54" t="b">
        <v>0</v>
      </c>
      <c r="B59" s="54" t="s">
        <v>152</v>
      </c>
      <c r="C59" s="54" t="s">
        <v>153</v>
      </c>
      <c r="D59" s="54" t="s">
        <v>1055</v>
      </c>
    </row>
    <row r="60">
      <c r="A60" s="54" t="b">
        <v>0</v>
      </c>
      <c r="B60" s="54" t="s">
        <v>154</v>
      </c>
      <c r="C60" s="54" t="s">
        <v>155</v>
      </c>
      <c r="D60" s="54" t="s">
        <v>1046</v>
      </c>
    </row>
    <row r="61">
      <c r="A61" s="54" t="b">
        <v>0</v>
      </c>
      <c r="B61" s="54" t="s">
        <v>156</v>
      </c>
      <c r="C61" s="54" t="s">
        <v>157</v>
      </c>
      <c r="D61" s="54" t="s">
        <v>1044</v>
      </c>
    </row>
    <row r="62">
      <c r="A62" s="54" t="b">
        <v>0</v>
      </c>
      <c r="B62" s="54" t="s">
        <v>158</v>
      </c>
      <c r="C62" s="54" t="s">
        <v>159</v>
      </c>
    </row>
    <row r="63">
      <c r="A63" s="54" t="b">
        <v>0</v>
      </c>
      <c r="B63" s="54" t="s">
        <v>160</v>
      </c>
      <c r="C63" s="54" t="s">
        <v>161</v>
      </c>
      <c r="D63" s="54" t="s">
        <v>1049</v>
      </c>
    </row>
    <row r="64">
      <c r="A64" s="54" t="b">
        <v>0</v>
      </c>
      <c r="B64" s="54" t="s">
        <v>162</v>
      </c>
      <c r="C64" s="54" t="s">
        <v>24</v>
      </c>
      <c r="D64" s="54" t="s">
        <v>1044</v>
      </c>
    </row>
    <row r="65">
      <c r="A65" s="54" t="b">
        <v>0</v>
      </c>
      <c r="B65" s="54" t="s">
        <v>163</v>
      </c>
      <c r="C65" s="54" t="s">
        <v>73</v>
      </c>
    </row>
    <row r="66">
      <c r="A66" s="54" t="b">
        <v>0</v>
      </c>
      <c r="B66" s="54" t="s">
        <v>164</v>
      </c>
      <c r="C66" s="54" t="s">
        <v>165</v>
      </c>
      <c r="D66" s="54" t="s">
        <v>1039</v>
      </c>
    </row>
    <row r="67">
      <c r="A67" s="54" t="b">
        <v>0</v>
      </c>
      <c r="B67" s="54" t="s">
        <v>166</v>
      </c>
      <c r="C67" s="54" t="s">
        <v>167</v>
      </c>
      <c r="D67" s="54" t="s">
        <v>1039</v>
      </c>
    </row>
    <row r="68">
      <c r="A68" s="54" t="b">
        <v>0</v>
      </c>
      <c r="B68" s="54" t="s">
        <v>168</v>
      </c>
      <c r="C68" s="54" t="s">
        <v>169</v>
      </c>
      <c r="D68" s="54" t="s">
        <v>1041</v>
      </c>
    </row>
    <row r="69">
      <c r="A69" s="54" t="b">
        <v>0</v>
      </c>
      <c r="B69" s="54" t="s">
        <v>170</v>
      </c>
      <c r="C69" s="54" t="s">
        <v>167</v>
      </c>
      <c r="D69" s="54" t="s">
        <v>1057</v>
      </c>
    </row>
    <row r="70">
      <c r="A70" s="54" t="b">
        <v>0</v>
      </c>
      <c r="B70" s="54" t="s">
        <v>171</v>
      </c>
      <c r="C70" s="54" t="s">
        <v>66</v>
      </c>
      <c r="D70" s="54" t="s">
        <v>1041</v>
      </c>
    </row>
    <row r="71">
      <c r="A71" s="54" t="b">
        <v>0</v>
      </c>
      <c r="B71" s="54" t="s">
        <v>172</v>
      </c>
      <c r="C71" s="54" t="s">
        <v>173</v>
      </c>
      <c r="D71" s="54" t="s">
        <v>1039</v>
      </c>
    </row>
    <row r="72">
      <c r="A72" s="54" t="b">
        <v>0</v>
      </c>
      <c r="B72" s="54" t="s">
        <v>174</v>
      </c>
      <c r="C72" s="54" t="s">
        <v>176</v>
      </c>
      <c r="D72" s="54" t="s">
        <v>1052</v>
      </c>
    </row>
    <row r="73">
      <c r="A73" s="54" t="b">
        <v>0</v>
      </c>
      <c r="B73" s="54" t="s">
        <v>177</v>
      </c>
      <c r="C73" s="54" t="s">
        <v>178</v>
      </c>
      <c r="D73" s="54" t="s">
        <v>1038</v>
      </c>
    </row>
    <row r="74">
      <c r="A74" s="54" t="b">
        <v>0</v>
      </c>
      <c r="B74" s="54" t="s">
        <v>179</v>
      </c>
      <c r="C74" s="54" t="s">
        <v>146</v>
      </c>
      <c r="D74" s="54" t="s">
        <v>1041</v>
      </c>
    </row>
    <row r="75">
      <c r="A75" s="54" t="b">
        <v>0</v>
      </c>
      <c r="B75" s="54" t="s">
        <v>180</v>
      </c>
      <c r="C75" s="54" t="s">
        <v>181</v>
      </c>
      <c r="D75" s="54" t="s">
        <v>1048</v>
      </c>
    </row>
    <row r="76">
      <c r="A76" s="54" t="b">
        <v>0</v>
      </c>
      <c r="B76" s="54" t="s">
        <v>182</v>
      </c>
      <c r="C76" s="54" t="s">
        <v>178</v>
      </c>
      <c r="D76" s="54" t="s">
        <v>1046</v>
      </c>
    </row>
    <row r="77">
      <c r="A77" s="54" t="b">
        <v>0</v>
      </c>
      <c r="B77" s="54" t="s">
        <v>183</v>
      </c>
      <c r="C77" s="54" t="s">
        <v>155</v>
      </c>
      <c r="D77" s="54" t="s">
        <v>1046</v>
      </c>
    </row>
    <row r="78">
      <c r="A78" s="54" t="b">
        <v>0</v>
      </c>
      <c r="B78" s="54" t="s">
        <v>184</v>
      </c>
      <c r="C78" s="54" t="s">
        <v>185</v>
      </c>
      <c r="D78" s="54" t="s">
        <v>1057</v>
      </c>
    </row>
    <row r="79">
      <c r="A79" s="54" t="b">
        <v>0</v>
      </c>
      <c r="B79" s="54" t="s">
        <v>186</v>
      </c>
      <c r="C79" s="54" t="s">
        <v>187</v>
      </c>
      <c r="D79" s="54" t="s">
        <v>1049</v>
      </c>
    </row>
    <row r="80">
      <c r="A80" s="54" t="b">
        <v>0</v>
      </c>
      <c r="B80" s="54" t="s">
        <v>188</v>
      </c>
      <c r="C80" s="54" t="s">
        <v>189</v>
      </c>
      <c r="D80" s="54" t="s">
        <v>1038</v>
      </c>
    </row>
    <row r="81">
      <c r="A81" s="54" t="b">
        <v>0</v>
      </c>
      <c r="B81" s="54" t="s">
        <v>190</v>
      </c>
      <c r="C81" s="54" t="s">
        <v>66</v>
      </c>
    </row>
    <row r="82">
      <c r="A82" s="54" t="b">
        <v>0</v>
      </c>
      <c r="B82" s="54" t="s">
        <v>191</v>
      </c>
      <c r="C82" s="54" t="s">
        <v>131</v>
      </c>
      <c r="D82" s="54" t="s">
        <v>1040</v>
      </c>
    </row>
    <row r="83">
      <c r="A83" s="54" t="b">
        <v>0</v>
      </c>
      <c r="B83" s="54" t="s">
        <v>192</v>
      </c>
      <c r="C83" s="54" t="s">
        <v>193</v>
      </c>
      <c r="D83" s="54" t="s">
        <v>1058</v>
      </c>
    </row>
    <row r="84">
      <c r="A84" s="54" t="b">
        <v>0</v>
      </c>
      <c r="B84" s="54" t="s">
        <v>194</v>
      </c>
      <c r="C84" s="54" t="s">
        <v>195</v>
      </c>
      <c r="D84" s="54" t="s">
        <v>1059</v>
      </c>
    </row>
    <row r="85">
      <c r="A85" s="54" t="b">
        <v>0</v>
      </c>
      <c r="B85" s="54" t="s">
        <v>196</v>
      </c>
      <c r="C85" s="54" t="s">
        <v>146</v>
      </c>
      <c r="D85" s="54" t="s">
        <v>1060</v>
      </c>
    </row>
    <row r="86">
      <c r="A86" s="54" t="b">
        <v>0</v>
      </c>
      <c r="B86" s="54" t="s">
        <v>197</v>
      </c>
      <c r="C86" s="54" t="s">
        <v>92</v>
      </c>
      <c r="D86" s="54" t="s">
        <v>1041</v>
      </c>
    </row>
    <row r="87">
      <c r="A87" s="54" t="b">
        <v>0</v>
      </c>
      <c r="B87" s="54" t="s">
        <v>198</v>
      </c>
      <c r="C87" s="54" t="s">
        <v>123</v>
      </c>
      <c r="D87" s="54" t="s">
        <v>1044</v>
      </c>
    </row>
    <row r="88">
      <c r="A88" s="54" t="b">
        <v>0</v>
      </c>
      <c r="B88" s="54" t="s">
        <v>199</v>
      </c>
      <c r="C88" s="54" t="s">
        <v>83</v>
      </c>
      <c r="D88" s="54" t="s">
        <v>1056</v>
      </c>
    </row>
    <row r="89">
      <c r="A89" s="54" t="b">
        <v>0</v>
      </c>
      <c r="B89" s="54" t="s">
        <v>200</v>
      </c>
      <c r="C89" s="54" t="s">
        <v>201</v>
      </c>
      <c r="D89" s="54" t="s">
        <v>1039</v>
      </c>
    </row>
    <row r="90">
      <c r="A90" s="54" t="b">
        <v>0</v>
      </c>
      <c r="B90" s="54" t="s">
        <v>202</v>
      </c>
      <c r="C90" s="54" t="s">
        <v>83</v>
      </c>
      <c r="D90" s="54" t="s">
        <v>1041</v>
      </c>
    </row>
    <row r="91">
      <c r="A91" s="54" t="b">
        <v>1</v>
      </c>
      <c r="B91" s="54" t="s">
        <v>203</v>
      </c>
      <c r="C91" s="54" t="s">
        <v>24</v>
      </c>
      <c r="D91" s="54" t="s">
        <v>1044</v>
      </c>
    </row>
    <row r="92">
      <c r="A92" s="54" t="b">
        <v>0</v>
      </c>
      <c r="B92" s="54" t="s">
        <v>205</v>
      </c>
      <c r="C92" s="54" t="s">
        <v>131</v>
      </c>
      <c r="D92" s="54" t="s">
        <v>1039</v>
      </c>
    </row>
    <row r="93">
      <c r="A93" s="54" t="b">
        <v>0</v>
      </c>
      <c r="B93" s="54" t="s">
        <v>206</v>
      </c>
      <c r="C93" s="54" t="s">
        <v>207</v>
      </c>
      <c r="D93" s="54" t="s">
        <v>1061</v>
      </c>
    </row>
    <row r="94">
      <c r="A94" s="54" t="b">
        <v>0</v>
      </c>
      <c r="B94" s="54" t="s">
        <v>208</v>
      </c>
      <c r="C94" s="54" t="s">
        <v>209</v>
      </c>
      <c r="D94" s="54" t="s">
        <v>1062</v>
      </c>
    </row>
    <row r="95">
      <c r="A95" s="54" t="b">
        <v>1</v>
      </c>
      <c r="B95" s="54" t="s">
        <v>210</v>
      </c>
      <c r="C95" s="54" t="s">
        <v>212</v>
      </c>
      <c r="D95" s="54" t="s">
        <v>1041</v>
      </c>
    </row>
    <row r="96">
      <c r="A96" s="54" t="b">
        <v>0</v>
      </c>
      <c r="B96" s="54" t="s">
        <v>213</v>
      </c>
      <c r="C96" s="54" t="s">
        <v>83</v>
      </c>
    </row>
    <row r="97">
      <c r="A97" s="54" t="b">
        <v>0</v>
      </c>
      <c r="B97" s="54" t="s">
        <v>214</v>
      </c>
      <c r="C97" s="54" t="s">
        <v>215</v>
      </c>
      <c r="D97" s="54" t="s">
        <v>1047</v>
      </c>
    </row>
    <row r="98">
      <c r="A98" s="54" t="b">
        <v>0</v>
      </c>
      <c r="B98" s="54" t="s">
        <v>216</v>
      </c>
      <c r="C98" s="54" t="s">
        <v>218</v>
      </c>
      <c r="D98" s="54" t="s">
        <v>1063</v>
      </c>
    </row>
    <row r="99">
      <c r="A99" s="54" t="b">
        <v>0</v>
      </c>
      <c r="B99" s="54" t="s">
        <v>983</v>
      </c>
      <c r="C99" s="54" t="s">
        <v>221</v>
      </c>
    </row>
    <row r="100">
      <c r="A100" s="54" t="b">
        <v>0</v>
      </c>
      <c r="B100" s="54" t="s">
        <v>222</v>
      </c>
      <c r="C100" s="54" t="s">
        <v>151</v>
      </c>
      <c r="D100" s="54" t="s">
        <v>1045</v>
      </c>
    </row>
    <row r="101">
      <c r="A101" s="54" t="b">
        <v>0</v>
      </c>
      <c r="B101" s="54" t="s">
        <v>223</v>
      </c>
      <c r="C101" s="54" t="s">
        <v>224</v>
      </c>
      <c r="D101" s="54" t="s">
        <v>1056</v>
      </c>
    </row>
    <row r="102">
      <c r="A102" s="54" t="b">
        <v>0</v>
      </c>
      <c r="B102" s="54" t="s">
        <v>225</v>
      </c>
      <c r="C102" s="54" t="s">
        <v>155</v>
      </c>
      <c r="D102" s="54" t="s">
        <v>1049</v>
      </c>
    </row>
    <row r="103">
      <c r="A103" s="54" t="b">
        <v>1</v>
      </c>
      <c r="B103" s="54" t="s">
        <v>226</v>
      </c>
      <c r="C103" s="54" t="s">
        <v>125</v>
      </c>
      <c r="D103" s="54" t="s">
        <v>1044</v>
      </c>
    </row>
    <row r="104">
      <c r="A104" s="54" t="b">
        <v>1</v>
      </c>
      <c r="B104" s="54" t="s">
        <v>227</v>
      </c>
      <c r="C104" s="54" t="s">
        <v>228</v>
      </c>
      <c r="D104" s="54" t="s">
        <v>1041</v>
      </c>
    </row>
    <row r="105">
      <c r="A105" s="54" t="b">
        <v>0</v>
      </c>
      <c r="B105" s="54" t="s">
        <v>229</v>
      </c>
      <c r="C105" s="54" t="s">
        <v>131</v>
      </c>
      <c r="D105" s="54" t="s">
        <v>1057</v>
      </c>
    </row>
    <row r="106">
      <c r="A106" s="54" t="b">
        <v>0</v>
      </c>
      <c r="B106" s="54" t="s">
        <v>230</v>
      </c>
      <c r="C106" s="54" t="s">
        <v>231</v>
      </c>
      <c r="D106" s="54" t="s">
        <v>1057</v>
      </c>
    </row>
    <row r="107">
      <c r="A107" s="54" t="b">
        <v>1</v>
      </c>
      <c r="B107" s="54" t="s">
        <v>232</v>
      </c>
      <c r="C107" s="54" t="s">
        <v>83</v>
      </c>
      <c r="D107" s="54" t="s">
        <v>1048</v>
      </c>
    </row>
    <row r="108">
      <c r="A108" s="54" t="b">
        <v>0</v>
      </c>
      <c r="B108" s="54" t="s">
        <v>233</v>
      </c>
      <c r="C108" s="54" t="s">
        <v>167</v>
      </c>
      <c r="D108" s="54" t="s">
        <v>1042</v>
      </c>
    </row>
    <row r="109">
      <c r="A109" s="54" t="b">
        <v>0</v>
      </c>
      <c r="B109" s="63" t="s">
        <v>234</v>
      </c>
      <c r="C109" s="54" t="s">
        <v>83</v>
      </c>
      <c r="D109" s="54" t="s">
        <v>1039</v>
      </c>
    </row>
    <row r="110">
      <c r="A110" s="54" t="b">
        <v>0</v>
      </c>
      <c r="B110" s="54" t="s">
        <v>235</v>
      </c>
      <c r="C110" s="54" t="s">
        <v>236</v>
      </c>
      <c r="D110" s="54" t="s">
        <v>1047</v>
      </c>
    </row>
    <row r="111">
      <c r="A111" s="54" t="b">
        <v>0</v>
      </c>
      <c r="B111" s="54" t="s">
        <v>237</v>
      </c>
      <c r="C111" s="54" t="s">
        <v>88</v>
      </c>
      <c r="D111" s="54" t="s">
        <v>1055</v>
      </c>
    </row>
    <row r="112">
      <c r="A112" s="54" t="b">
        <v>0</v>
      </c>
      <c r="B112" s="54" t="s">
        <v>238</v>
      </c>
      <c r="C112" s="54" t="s">
        <v>131</v>
      </c>
      <c r="D112" s="54" t="s">
        <v>1048</v>
      </c>
    </row>
    <row r="113">
      <c r="A113" s="54" t="b">
        <v>0</v>
      </c>
      <c r="B113" s="54" t="s">
        <v>239</v>
      </c>
      <c r="C113" s="54" t="s">
        <v>73</v>
      </c>
      <c r="D113" s="54" t="s">
        <v>1056</v>
      </c>
    </row>
    <row r="114">
      <c r="A114" s="54" t="b">
        <v>0</v>
      </c>
      <c r="B114" s="54" t="s">
        <v>240</v>
      </c>
      <c r="C114" s="54" t="s">
        <v>100</v>
      </c>
      <c r="D114" s="54" t="s">
        <v>1041</v>
      </c>
    </row>
    <row r="115">
      <c r="A115" s="54" t="b">
        <v>0</v>
      </c>
      <c r="B115" s="54" t="s">
        <v>241</v>
      </c>
      <c r="C115" s="54" t="s">
        <v>242</v>
      </c>
      <c r="D115" s="54" t="s">
        <v>1063</v>
      </c>
    </row>
    <row r="116">
      <c r="A116" s="54" t="b">
        <v>0</v>
      </c>
      <c r="B116" s="54" t="s">
        <v>243</v>
      </c>
      <c r="C116" s="54" t="s">
        <v>92</v>
      </c>
      <c r="D116" s="54" t="s">
        <v>1041</v>
      </c>
    </row>
    <row r="117">
      <c r="A117" s="54" t="b">
        <v>0</v>
      </c>
      <c r="B117" s="54" t="s">
        <v>244</v>
      </c>
      <c r="C117" s="54" t="s">
        <v>24</v>
      </c>
      <c r="D117" s="54" t="s">
        <v>1039</v>
      </c>
    </row>
    <row r="118">
      <c r="A118" s="54" t="b">
        <v>0</v>
      </c>
      <c r="B118" s="54" t="s">
        <v>245</v>
      </c>
      <c r="C118" s="54" t="s">
        <v>246</v>
      </c>
      <c r="D118" s="54" t="s">
        <v>1064</v>
      </c>
    </row>
    <row r="119">
      <c r="A119" s="54" t="b">
        <v>0</v>
      </c>
      <c r="B119" s="54" t="s">
        <v>247</v>
      </c>
      <c r="C119" s="54" t="s">
        <v>248</v>
      </c>
      <c r="D119" s="54" t="s">
        <v>1059</v>
      </c>
    </row>
    <row r="120">
      <c r="A120" s="54" t="b">
        <v>0</v>
      </c>
      <c r="B120" s="54" t="s">
        <v>249</v>
      </c>
      <c r="C120" s="54" t="s">
        <v>40</v>
      </c>
      <c r="D120" s="54" t="s">
        <v>1049</v>
      </c>
    </row>
    <row r="121">
      <c r="A121" s="54" t="b">
        <v>1</v>
      </c>
      <c r="B121" s="54" t="s">
        <v>250</v>
      </c>
      <c r="C121" s="54" t="s">
        <v>251</v>
      </c>
    </row>
    <row r="122">
      <c r="A122" s="54" t="b">
        <v>0</v>
      </c>
      <c r="B122" s="54" t="s">
        <v>252</v>
      </c>
      <c r="C122" s="54" t="s">
        <v>253</v>
      </c>
      <c r="D122" s="54" t="s">
        <v>1060</v>
      </c>
    </row>
    <row r="123">
      <c r="A123" s="54" t="b">
        <v>0</v>
      </c>
      <c r="B123" s="54" t="s">
        <v>254</v>
      </c>
      <c r="C123" s="54" t="s">
        <v>155</v>
      </c>
      <c r="D123" s="54" t="s">
        <v>1039</v>
      </c>
    </row>
    <row r="124">
      <c r="A124" s="54" t="b">
        <v>0</v>
      </c>
      <c r="B124" s="54" t="s">
        <v>255</v>
      </c>
      <c r="C124" s="54" t="s">
        <v>157</v>
      </c>
      <c r="D124" s="54" t="s">
        <v>1039</v>
      </c>
    </row>
    <row r="125">
      <c r="A125" s="54" t="b">
        <v>0</v>
      </c>
      <c r="B125" s="54" t="s">
        <v>256</v>
      </c>
      <c r="C125" s="54" t="s">
        <v>131</v>
      </c>
      <c r="D125" s="54" t="s">
        <v>1042</v>
      </c>
    </row>
    <row r="126">
      <c r="A126" s="54" t="b">
        <v>0</v>
      </c>
      <c r="B126" s="54" t="s">
        <v>257</v>
      </c>
      <c r="C126" s="54" t="s">
        <v>59</v>
      </c>
      <c r="D126" s="54" t="s">
        <v>1060</v>
      </c>
    </row>
    <row r="127">
      <c r="A127" s="54" t="b">
        <v>0</v>
      </c>
      <c r="B127" s="54" t="s">
        <v>258</v>
      </c>
      <c r="C127" s="54" t="s">
        <v>259</v>
      </c>
      <c r="D127" s="54" t="s">
        <v>1038</v>
      </c>
    </row>
    <row r="128">
      <c r="A128" s="54" t="b">
        <v>0</v>
      </c>
      <c r="B128" s="54" t="s">
        <v>260</v>
      </c>
      <c r="C128" s="54" t="s">
        <v>167</v>
      </c>
      <c r="D128" s="54" t="s">
        <v>1039</v>
      </c>
    </row>
    <row r="129">
      <c r="A129" s="54" t="b">
        <v>0</v>
      </c>
      <c r="B129" s="54" t="s">
        <v>261</v>
      </c>
      <c r="C129" s="54" t="s">
        <v>131</v>
      </c>
      <c r="D129" s="54" t="s">
        <v>1063</v>
      </c>
    </row>
    <row r="130">
      <c r="A130" s="54" t="b">
        <v>0</v>
      </c>
      <c r="B130" s="54" t="s">
        <v>262</v>
      </c>
      <c r="C130" s="54" t="s">
        <v>61</v>
      </c>
      <c r="D130" s="54" t="s">
        <v>1056</v>
      </c>
    </row>
    <row r="131">
      <c r="A131" s="54" t="b">
        <v>0</v>
      </c>
      <c r="B131" s="54" t="s">
        <v>263</v>
      </c>
      <c r="C131" s="54" t="s">
        <v>24</v>
      </c>
      <c r="D131" s="54" t="s">
        <v>1044</v>
      </c>
    </row>
    <row r="132">
      <c r="A132" s="54" t="b">
        <v>0</v>
      </c>
      <c r="B132" s="54" t="s">
        <v>264</v>
      </c>
      <c r="C132" s="54" t="s">
        <v>119</v>
      </c>
    </row>
    <row r="133">
      <c r="A133" s="54" t="b">
        <v>0</v>
      </c>
      <c r="B133" s="54" t="s">
        <v>265</v>
      </c>
      <c r="C133" s="54" t="s">
        <v>224</v>
      </c>
      <c r="D133" s="54" t="s">
        <v>1057</v>
      </c>
    </row>
    <row r="134">
      <c r="A134" s="54" t="b">
        <v>1</v>
      </c>
      <c r="B134" s="54" t="s">
        <v>266</v>
      </c>
      <c r="C134" s="54" t="s">
        <v>267</v>
      </c>
      <c r="D134" s="54" t="s">
        <v>1039</v>
      </c>
    </row>
    <row r="135">
      <c r="A135" s="54" t="b">
        <v>0</v>
      </c>
      <c r="B135" s="54" t="s">
        <v>268</v>
      </c>
      <c r="C135" s="54" t="s">
        <v>269</v>
      </c>
      <c r="D135" s="54" t="s">
        <v>1039</v>
      </c>
    </row>
    <row r="136">
      <c r="A136" s="54" t="b">
        <v>0</v>
      </c>
      <c r="B136" s="54" t="s">
        <v>270</v>
      </c>
      <c r="C136" s="54" t="s">
        <v>271</v>
      </c>
      <c r="D136" s="54" t="s">
        <v>1046</v>
      </c>
    </row>
    <row r="137">
      <c r="A137" s="54" t="b">
        <v>1</v>
      </c>
      <c r="B137" s="54" t="s">
        <v>272</v>
      </c>
      <c r="C137" s="54" t="s">
        <v>273</v>
      </c>
      <c r="D137" s="54" t="s">
        <v>1049</v>
      </c>
    </row>
    <row r="138">
      <c r="A138" s="54" t="b">
        <v>0</v>
      </c>
      <c r="B138" s="54" t="s">
        <v>274</v>
      </c>
      <c r="C138" s="54" t="s">
        <v>131</v>
      </c>
      <c r="D138" s="54" t="s">
        <v>1048</v>
      </c>
    </row>
    <row r="139">
      <c r="A139" s="54" t="b">
        <v>0</v>
      </c>
      <c r="B139" s="54" t="s">
        <v>275</v>
      </c>
      <c r="C139" s="54" t="s">
        <v>276</v>
      </c>
      <c r="D139" s="54" t="s">
        <v>1039</v>
      </c>
    </row>
    <row r="140">
      <c r="A140" s="54" t="b">
        <v>0</v>
      </c>
      <c r="B140" s="54" t="s">
        <v>278</v>
      </c>
      <c r="C140" s="54" t="s">
        <v>53</v>
      </c>
      <c r="D140" s="54" t="s">
        <v>1063</v>
      </c>
    </row>
    <row r="141">
      <c r="A141" s="54" t="b">
        <v>0</v>
      </c>
      <c r="B141" s="54" t="s">
        <v>279</v>
      </c>
      <c r="C141" s="54" t="s">
        <v>280</v>
      </c>
      <c r="D141" s="54" t="s">
        <v>1047</v>
      </c>
    </row>
    <row r="142">
      <c r="A142" s="54" t="b">
        <v>0</v>
      </c>
      <c r="B142" s="54" t="s">
        <v>281</v>
      </c>
      <c r="C142" s="54" t="s">
        <v>282</v>
      </c>
      <c r="D142" s="54" t="s">
        <v>1038</v>
      </c>
    </row>
    <row r="143">
      <c r="A143" s="54" t="b">
        <v>0</v>
      </c>
      <c r="B143" s="54" t="s">
        <v>283</v>
      </c>
      <c r="C143" s="54" t="s">
        <v>284</v>
      </c>
      <c r="D143" s="54" t="s">
        <v>1040</v>
      </c>
    </row>
    <row r="144">
      <c r="A144" s="54" t="b">
        <v>0</v>
      </c>
      <c r="B144" s="54" t="s">
        <v>285</v>
      </c>
      <c r="C144" s="54" t="s">
        <v>286</v>
      </c>
      <c r="D144" s="54" t="s">
        <v>1039</v>
      </c>
    </row>
    <row r="145">
      <c r="A145" s="54" t="b">
        <v>1</v>
      </c>
      <c r="B145" s="54" t="s">
        <v>287</v>
      </c>
      <c r="C145" s="54" t="s">
        <v>228</v>
      </c>
      <c r="D145" s="54" t="s">
        <v>1041</v>
      </c>
    </row>
    <row r="146">
      <c r="A146" s="54" t="b">
        <v>0</v>
      </c>
      <c r="B146" s="54" t="s">
        <v>288</v>
      </c>
      <c r="C146" s="54" t="s">
        <v>289</v>
      </c>
      <c r="D146" s="54" t="s">
        <v>1038</v>
      </c>
    </row>
    <row r="147">
      <c r="A147" s="54" t="b">
        <v>0</v>
      </c>
      <c r="B147" s="54" t="s">
        <v>290</v>
      </c>
      <c r="C147" s="54" t="s">
        <v>291</v>
      </c>
      <c r="D147" s="54" t="s">
        <v>1061</v>
      </c>
    </row>
    <row r="148">
      <c r="A148" s="54" t="b">
        <v>1</v>
      </c>
      <c r="B148" s="54" t="s">
        <v>292</v>
      </c>
      <c r="C148" s="54" t="s">
        <v>31</v>
      </c>
      <c r="D148" s="54" t="s">
        <v>1051</v>
      </c>
    </row>
    <row r="149">
      <c r="A149" s="54" t="b">
        <v>0</v>
      </c>
      <c r="B149" s="54" t="s">
        <v>293</v>
      </c>
      <c r="C149" s="54" t="s">
        <v>151</v>
      </c>
      <c r="D149" s="54" t="s">
        <v>1065</v>
      </c>
    </row>
    <row r="150">
      <c r="A150" s="54" t="b">
        <v>0</v>
      </c>
      <c r="B150" s="54" t="s">
        <v>294</v>
      </c>
      <c r="C150" s="54" t="s">
        <v>131</v>
      </c>
      <c r="D150" s="54" t="s">
        <v>1038</v>
      </c>
    </row>
    <row r="151">
      <c r="A151" s="54" t="b">
        <v>0</v>
      </c>
      <c r="B151" s="54" t="s">
        <v>295</v>
      </c>
      <c r="C151" s="54" t="s">
        <v>296</v>
      </c>
      <c r="D151" s="54" t="s">
        <v>1039</v>
      </c>
    </row>
    <row r="152">
      <c r="A152" s="54" t="b">
        <v>0</v>
      </c>
      <c r="B152" s="54" t="s">
        <v>297</v>
      </c>
      <c r="C152" s="54" t="s">
        <v>298</v>
      </c>
      <c r="D152" s="54" t="s">
        <v>1042</v>
      </c>
    </row>
    <row r="153">
      <c r="A153" s="54" t="b">
        <v>0</v>
      </c>
      <c r="B153" s="54" t="s">
        <v>299</v>
      </c>
      <c r="C153" s="54" t="s">
        <v>151</v>
      </c>
      <c r="D153" s="54" t="s">
        <v>1041</v>
      </c>
    </row>
    <row r="154">
      <c r="A154" s="54" t="b">
        <v>0</v>
      </c>
      <c r="B154" s="54" t="s">
        <v>300</v>
      </c>
      <c r="C154" s="54" t="s">
        <v>301</v>
      </c>
      <c r="D154" s="54" t="s">
        <v>1053</v>
      </c>
    </row>
    <row r="155">
      <c r="A155" s="54" t="b">
        <v>0</v>
      </c>
      <c r="B155" s="54" t="s">
        <v>302</v>
      </c>
      <c r="C155" s="54" t="s">
        <v>269</v>
      </c>
      <c r="D155" s="54" t="s">
        <v>1038</v>
      </c>
    </row>
    <row r="156">
      <c r="A156" s="54" t="b">
        <v>0</v>
      </c>
      <c r="B156" s="54" t="s">
        <v>303</v>
      </c>
      <c r="C156" s="54" t="s">
        <v>73</v>
      </c>
      <c r="D156" s="54" t="s">
        <v>1056</v>
      </c>
    </row>
    <row r="157">
      <c r="A157" s="54" t="b">
        <v>0</v>
      </c>
      <c r="B157" s="54" t="s">
        <v>304</v>
      </c>
      <c r="C157" s="54" t="s">
        <v>306</v>
      </c>
      <c r="D157" s="54" t="s">
        <v>1039</v>
      </c>
    </row>
    <row r="158">
      <c r="A158" s="54" t="b">
        <v>0</v>
      </c>
      <c r="B158" s="54" t="s">
        <v>307</v>
      </c>
      <c r="C158" s="54" t="s">
        <v>308</v>
      </c>
      <c r="D158" s="54" t="s">
        <v>1054</v>
      </c>
    </row>
    <row r="159">
      <c r="A159" s="54" t="b">
        <v>0</v>
      </c>
      <c r="B159" s="54" t="s">
        <v>309</v>
      </c>
      <c r="C159" s="54" t="s">
        <v>310</v>
      </c>
      <c r="D159" s="54" t="s">
        <v>1043</v>
      </c>
    </row>
    <row r="160">
      <c r="A160" s="54" t="b">
        <v>0</v>
      </c>
      <c r="B160" s="54" t="s">
        <v>311</v>
      </c>
      <c r="C160" s="54" t="s">
        <v>83</v>
      </c>
      <c r="D160" s="54" t="s">
        <v>1041</v>
      </c>
    </row>
    <row r="161">
      <c r="A161" s="54" t="b">
        <v>0</v>
      </c>
      <c r="B161" s="54" t="s">
        <v>312</v>
      </c>
      <c r="C161" s="54" t="s">
        <v>313</v>
      </c>
      <c r="D161" s="54" t="s">
        <v>1054</v>
      </c>
    </row>
    <row r="162">
      <c r="A162" s="54" t="b">
        <v>0</v>
      </c>
      <c r="B162" s="54" t="s">
        <v>314</v>
      </c>
      <c r="C162" s="54" t="s">
        <v>315</v>
      </c>
      <c r="D162" s="54" t="s">
        <v>1041</v>
      </c>
    </row>
    <row r="163">
      <c r="A163" s="54" t="b">
        <v>0</v>
      </c>
      <c r="B163" s="54" t="s">
        <v>316</v>
      </c>
      <c r="C163" s="54" t="s">
        <v>317</v>
      </c>
      <c r="D163" s="54" t="s">
        <v>1046</v>
      </c>
    </row>
    <row r="164">
      <c r="A164" s="54" t="b">
        <v>0</v>
      </c>
      <c r="B164" s="54" t="s">
        <v>318</v>
      </c>
      <c r="C164" s="54" t="s">
        <v>319</v>
      </c>
      <c r="D164" s="54" t="s">
        <v>1039</v>
      </c>
    </row>
    <row r="165">
      <c r="A165" s="54" t="b">
        <v>0</v>
      </c>
      <c r="B165" s="54" t="s">
        <v>320</v>
      </c>
      <c r="C165" s="54" t="s">
        <v>321</v>
      </c>
      <c r="D165" s="54" t="s">
        <v>1045</v>
      </c>
    </row>
    <row r="166">
      <c r="A166" s="54" t="b">
        <v>0</v>
      </c>
      <c r="B166" s="54" t="s">
        <v>322</v>
      </c>
      <c r="C166" s="54" t="s">
        <v>323</v>
      </c>
      <c r="D166" s="54" t="s">
        <v>1044</v>
      </c>
    </row>
    <row r="167">
      <c r="A167" s="54" t="b">
        <v>0</v>
      </c>
      <c r="B167" s="54" t="s">
        <v>324</v>
      </c>
      <c r="C167" s="54" t="s">
        <v>325</v>
      </c>
      <c r="D167" s="54" t="s">
        <v>1042</v>
      </c>
    </row>
    <row r="168">
      <c r="A168" s="54" t="b">
        <v>0</v>
      </c>
      <c r="B168" s="54" t="s">
        <v>326</v>
      </c>
      <c r="C168" s="54" t="s">
        <v>73</v>
      </c>
      <c r="D168" s="54" t="s">
        <v>1039</v>
      </c>
    </row>
    <row r="169">
      <c r="A169" s="54" t="b">
        <v>0</v>
      </c>
      <c r="B169" s="54" t="s">
        <v>327</v>
      </c>
      <c r="C169" s="54" t="s">
        <v>328</v>
      </c>
      <c r="D169" s="54" t="s">
        <v>1039</v>
      </c>
    </row>
    <row r="170">
      <c r="A170" s="54" t="b">
        <v>0</v>
      </c>
      <c r="B170" s="54" t="s">
        <v>329</v>
      </c>
      <c r="C170" s="54" t="s">
        <v>66</v>
      </c>
      <c r="D170" s="54" t="s">
        <v>1055</v>
      </c>
    </row>
    <row r="171">
      <c r="A171" s="54" t="b">
        <v>0</v>
      </c>
      <c r="B171" s="54" t="s">
        <v>330</v>
      </c>
      <c r="C171" s="54" t="s">
        <v>331</v>
      </c>
      <c r="D171" s="54" t="s">
        <v>1039</v>
      </c>
    </row>
    <row r="172">
      <c r="A172" s="54" t="b">
        <v>0</v>
      </c>
      <c r="B172" s="54" t="s">
        <v>332</v>
      </c>
      <c r="C172" s="54" t="s">
        <v>24</v>
      </c>
      <c r="D172" s="54" t="s">
        <v>1044</v>
      </c>
    </row>
    <row r="173">
      <c r="A173" s="54" t="b">
        <v>0</v>
      </c>
      <c r="B173" s="54" t="s">
        <v>333</v>
      </c>
      <c r="C173" s="54" t="s">
        <v>51</v>
      </c>
      <c r="D173" s="54" t="s">
        <v>1047</v>
      </c>
    </row>
    <row r="174">
      <c r="A174" s="54" t="b">
        <v>0</v>
      </c>
      <c r="B174" s="54" t="s">
        <v>334</v>
      </c>
      <c r="C174" s="54" t="s">
        <v>83</v>
      </c>
      <c r="D174" s="54" t="s">
        <v>1039</v>
      </c>
    </row>
    <row r="175">
      <c r="A175" s="54" t="b">
        <v>0</v>
      </c>
      <c r="B175" s="54" t="s">
        <v>335</v>
      </c>
      <c r="C175" s="54" t="s">
        <v>336</v>
      </c>
      <c r="D175" s="54" t="s">
        <v>1044</v>
      </c>
    </row>
    <row r="176">
      <c r="A176" s="54" t="b">
        <v>0</v>
      </c>
      <c r="B176" s="54" t="s">
        <v>337</v>
      </c>
      <c r="C176" s="54" t="s">
        <v>83</v>
      </c>
      <c r="D176" s="54" t="s">
        <v>1039</v>
      </c>
    </row>
    <row r="177">
      <c r="A177" s="54" t="b">
        <v>0</v>
      </c>
      <c r="B177" s="54" t="s">
        <v>338</v>
      </c>
      <c r="C177" s="54" t="s">
        <v>339</v>
      </c>
      <c r="D177" s="54" t="s">
        <v>1056</v>
      </c>
    </row>
    <row r="178">
      <c r="A178" s="54" t="b">
        <v>0</v>
      </c>
      <c r="B178" s="54" t="s">
        <v>340</v>
      </c>
      <c r="C178" s="54" t="s">
        <v>341</v>
      </c>
      <c r="D178" s="54" t="s">
        <v>1051</v>
      </c>
    </row>
    <row r="179">
      <c r="A179" s="54" t="b">
        <v>0</v>
      </c>
      <c r="B179" s="54" t="s">
        <v>342</v>
      </c>
      <c r="C179" s="54" t="s">
        <v>343</v>
      </c>
      <c r="D179" s="54" t="s">
        <v>1039</v>
      </c>
    </row>
    <row r="180">
      <c r="A180" s="54" t="b">
        <v>0</v>
      </c>
      <c r="B180" s="54" t="s">
        <v>344</v>
      </c>
      <c r="C180" s="54" t="s">
        <v>31</v>
      </c>
      <c r="D180" s="54" t="s">
        <v>1060</v>
      </c>
    </row>
    <row r="181">
      <c r="A181" s="54" t="b">
        <v>0</v>
      </c>
      <c r="B181" s="54" t="s">
        <v>345</v>
      </c>
      <c r="C181" s="54" t="s">
        <v>319</v>
      </c>
      <c r="D181" s="54" t="s">
        <v>1039</v>
      </c>
    </row>
    <row r="182">
      <c r="A182" s="54" t="b">
        <v>0</v>
      </c>
      <c r="B182" s="54" t="s">
        <v>346</v>
      </c>
      <c r="C182" s="54" t="s">
        <v>155</v>
      </c>
      <c r="D182" s="54" t="s">
        <v>1064</v>
      </c>
    </row>
    <row r="183">
      <c r="A183" s="54" t="b">
        <v>0</v>
      </c>
      <c r="B183" s="54" t="s">
        <v>347</v>
      </c>
      <c r="C183" s="54" t="s">
        <v>236</v>
      </c>
      <c r="D183" s="54" t="s">
        <v>1066</v>
      </c>
    </row>
    <row r="184">
      <c r="A184" s="54" t="b">
        <v>0</v>
      </c>
      <c r="B184" s="54" t="s">
        <v>348</v>
      </c>
      <c r="C184" s="54" t="s">
        <v>349</v>
      </c>
      <c r="D184" s="54" t="s">
        <v>1044</v>
      </c>
    </row>
    <row r="185">
      <c r="A185" s="54" t="b">
        <v>0</v>
      </c>
      <c r="B185" s="54" t="s">
        <v>350</v>
      </c>
      <c r="C185" s="54" t="s">
        <v>131</v>
      </c>
      <c r="D185" s="54" t="s">
        <v>1041</v>
      </c>
    </row>
    <row r="186">
      <c r="A186" s="54" t="b">
        <v>0</v>
      </c>
      <c r="B186" s="54" t="s">
        <v>351</v>
      </c>
      <c r="C186" s="54" t="s">
        <v>352</v>
      </c>
      <c r="D186" s="54" t="s">
        <v>1049</v>
      </c>
    </row>
    <row r="187">
      <c r="A187" s="54" t="b">
        <v>0</v>
      </c>
      <c r="B187" s="54" t="s">
        <v>353</v>
      </c>
      <c r="C187" s="54" t="s">
        <v>354</v>
      </c>
      <c r="D187" s="54" t="s">
        <v>1052</v>
      </c>
    </row>
    <row r="188">
      <c r="A188" s="54" t="b">
        <v>0</v>
      </c>
      <c r="B188" s="54" t="s">
        <v>355</v>
      </c>
      <c r="C188" s="54" t="s">
        <v>356</v>
      </c>
      <c r="D188" s="54" t="s">
        <v>1039</v>
      </c>
    </row>
    <row r="189">
      <c r="A189" s="54" t="b">
        <v>0</v>
      </c>
      <c r="B189" s="54" t="s">
        <v>357</v>
      </c>
      <c r="C189" s="54" t="s">
        <v>358</v>
      </c>
      <c r="D189" s="54" t="s">
        <v>1054</v>
      </c>
    </row>
    <row r="190">
      <c r="A190" s="54" t="b">
        <v>0</v>
      </c>
      <c r="B190" s="54" t="s">
        <v>359</v>
      </c>
      <c r="C190" s="54" t="s">
        <v>341</v>
      </c>
      <c r="D190" s="54" t="s">
        <v>1051</v>
      </c>
    </row>
    <row r="191">
      <c r="A191" s="54" t="b">
        <v>0</v>
      </c>
      <c r="B191" s="54" t="s">
        <v>360</v>
      </c>
      <c r="C191" s="54" t="s">
        <v>66</v>
      </c>
      <c r="D191" s="54" t="s">
        <v>1041</v>
      </c>
    </row>
    <row r="192">
      <c r="A192" s="54" t="b">
        <v>0</v>
      </c>
      <c r="B192" s="54" t="s">
        <v>361</v>
      </c>
      <c r="C192" s="54" t="s">
        <v>100</v>
      </c>
      <c r="D192" s="54" t="s">
        <v>1041</v>
      </c>
    </row>
    <row r="193">
      <c r="A193" s="54" t="b">
        <v>0</v>
      </c>
      <c r="B193" s="54" t="s">
        <v>362</v>
      </c>
      <c r="C193" s="54" t="s">
        <v>363</v>
      </c>
      <c r="D193" s="54" t="s">
        <v>1048</v>
      </c>
    </row>
    <row r="194">
      <c r="A194" s="54" t="b">
        <v>0</v>
      </c>
      <c r="B194" s="54" t="s">
        <v>364</v>
      </c>
      <c r="C194" s="54" t="s">
        <v>365</v>
      </c>
      <c r="D194" s="54" t="s">
        <v>1064</v>
      </c>
    </row>
    <row r="195">
      <c r="A195" s="54" t="b">
        <v>0</v>
      </c>
      <c r="B195" s="54" t="s">
        <v>366</v>
      </c>
      <c r="C195" s="54" t="s">
        <v>367</v>
      </c>
      <c r="D195" s="54" t="s">
        <v>1044</v>
      </c>
    </row>
    <row r="196">
      <c r="A196" s="54" t="b">
        <v>0</v>
      </c>
      <c r="B196" s="54" t="s">
        <v>368</v>
      </c>
      <c r="C196" s="54" t="s">
        <v>369</v>
      </c>
      <c r="D196" s="54" t="s">
        <v>1039</v>
      </c>
    </row>
    <row r="197">
      <c r="A197" s="54" t="b">
        <v>0</v>
      </c>
      <c r="B197" s="54" t="s">
        <v>370</v>
      </c>
      <c r="C197" s="54" t="s">
        <v>248</v>
      </c>
      <c r="D197" s="54" t="s">
        <v>1053</v>
      </c>
    </row>
    <row r="198">
      <c r="A198" s="54" t="b">
        <v>0</v>
      </c>
      <c r="B198" s="54" t="s">
        <v>371</v>
      </c>
      <c r="C198" s="54" t="s">
        <v>80</v>
      </c>
      <c r="D198" s="54" t="s">
        <v>1039</v>
      </c>
    </row>
    <row r="199">
      <c r="A199" s="54" t="b">
        <v>0</v>
      </c>
      <c r="B199" s="54" t="s">
        <v>372</v>
      </c>
      <c r="C199" s="54" t="s">
        <v>373</v>
      </c>
      <c r="D199" s="54" t="s">
        <v>1039</v>
      </c>
    </row>
    <row r="200">
      <c r="A200" s="54" t="b">
        <v>0</v>
      </c>
      <c r="B200" s="54" t="s">
        <v>374</v>
      </c>
      <c r="C200" s="54" t="s">
        <v>375</v>
      </c>
      <c r="D200" s="54" t="s">
        <v>1044</v>
      </c>
    </row>
    <row r="201">
      <c r="A201" s="54" t="b">
        <v>0</v>
      </c>
      <c r="B201" s="54" t="s">
        <v>376</v>
      </c>
      <c r="C201" s="54" t="s">
        <v>291</v>
      </c>
      <c r="D201" s="54" t="s">
        <v>1054</v>
      </c>
    </row>
    <row r="202">
      <c r="A202" s="54" t="b">
        <v>0</v>
      </c>
      <c r="B202" s="54" t="s">
        <v>377</v>
      </c>
      <c r="C202" s="54" t="s">
        <v>378</v>
      </c>
      <c r="D202" s="54" t="s">
        <v>1039</v>
      </c>
    </row>
    <row r="203">
      <c r="A203" s="54" t="b">
        <v>0</v>
      </c>
      <c r="B203" s="54" t="s">
        <v>379</v>
      </c>
      <c r="C203" s="54" t="s">
        <v>380</v>
      </c>
      <c r="D203" s="54" t="s">
        <v>1053</v>
      </c>
    </row>
    <row r="204">
      <c r="A204" s="54" t="b">
        <v>0</v>
      </c>
      <c r="B204" s="54" t="s">
        <v>381</v>
      </c>
      <c r="C204" s="54" t="s">
        <v>382</v>
      </c>
      <c r="D204" s="54" t="s">
        <v>1056</v>
      </c>
    </row>
    <row r="205">
      <c r="A205" s="54" t="b">
        <v>0</v>
      </c>
      <c r="B205" s="54" t="s">
        <v>383</v>
      </c>
      <c r="C205" s="54" t="s">
        <v>319</v>
      </c>
      <c r="D205" s="54" t="s">
        <v>1039</v>
      </c>
    </row>
    <row r="206">
      <c r="A206" s="54" t="b">
        <v>0</v>
      </c>
      <c r="B206" s="54" t="s">
        <v>384</v>
      </c>
      <c r="C206" s="54" t="s">
        <v>385</v>
      </c>
      <c r="D206" s="54" t="s">
        <v>1063</v>
      </c>
    </row>
    <row r="207">
      <c r="A207" s="54" t="b">
        <v>0</v>
      </c>
      <c r="B207" s="54" t="s">
        <v>386</v>
      </c>
      <c r="C207" s="54" t="s">
        <v>373</v>
      </c>
      <c r="D207" s="54" t="s">
        <v>1052</v>
      </c>
    </row>
    <row r="208">
      <c r="A208" s="54" t="b">
        <v>1</v>
      </c>
      <c r="B208" s="54" t="s">
        <v>387</v>
      </c>
      <c r="C208" s="54" t="s">
        <v>73</v>
      </c>
      <c r="D208" s="54" t="s">
        <v>1041</v>
      </c>
    </row>
    <row r="209">
      <c r="A209" s="54" t="b">
        <v>0</v>
      </c>
      <c r="B209" s="54" t="s">
        <v>388</v>
      </c>
      <c r="C209" s="54" t="s">
        <v>389</v>
      </c>
      <c r="D209" s="54" t="s">
        <v>1041</v>
      </c>
    </row>
    <row r="210">
      <c r="A210" s="54" t="b">
        <v>0</v>
      </c>
      <c r="B210" s="54" t="s">
        <v>390</v>
      </c>
      <c r="C210" s="54" t="s">
        <v>391</v>
      </c>
      <c r="D210" s="54" t="s">
        <v>1044</v>
      </c>
    </row>
    <row r="211">
      <c r="A211" s="54" t="b">
        <v>0</v>
      </c>
      <c r="B211" s="54" t="s">
        <v>392</v>
      </c>
      <c r="C211" s="54" t="s">
        <v>24</v>
      </c>
      <c r="D211" s="54" t="s">
        <v>1042</v>
      </c>
    </row>
    <row r="212">
      <c r="A212" s="54" t="b">
        <v>0</v>
      </c>
      <c r="B212" s="54" t="s">
        <v>393</v>
      </c>
      <c r="C212" s="54" t="s">
        <v>394</v>
      </c>
      <c r="D212" s="54" t="s">
        <v>1050</v>
      </c>
    </row>
    <row r="213">
      <c r="A213" s="54" t="b">
        <v>0</v>
      </c>
      <c r="B213" s="54" t="s">
        <v>395</v>
      </c>
      <c r="C213" s="54" t="s">
        <v>73</v>
      </c>
    </row>
    <row r="214">
      <c r="A214" s="54" t="b">
        <v>0</v>
      </c>
      <c r="B214" s="54" t="s">
        <v>396</v>
      </c>
      <c r="C214" s="54" t="s">
        <v>24</v>
      </c>
      <c r="D214" s="54" t="s">
        <v>1044</v>
      </c>
    </row>
    <row r="215">
      <c r="A215" s="54" t="b">
        <v>0</v>
      </c>
      <c r="B215" s="54" t="s">
        <v>397</v>
      </c>
      <c r="C215" s="54" t="s">
        <v>131</v>
      </c>
    </row>
    <row r="216">
      <c r="A216" s="54" t="b">
        <v>0</v>
      </c>
      <c r="B216" s="54" t="s">
        <v>398</v>
      </c>
      <c r="C216" s="54" t="s">
        <v>399</v>
      </c>
      <c r="D216" s="54" t="s">
        <v>1039</v>
      </c>
    </row>
    <row r="217">
      <c r="A217" s="54" t="b">
        <v>0</v>
      </c>
      <c r="B217" s="54" t="s">
        <v>400</v>
      </c>
      <c r="C217" s="54" t="s">
        <v>401</v>
      </c>
      <c r="D217" s="54" t="s">
        <v>1040</v>
      </c>
    </row>
    <row r="218">
      <c r="A218" s="54" t="b">
        <v>0</v>
      </c>
      <c r="B218" s="54" t="s">
        <v>402</v>
      </c>
      <c r="C218" s="54" t="s">
        <v>403</v>
      </c>
      <c r="D218" s="54" t="s">
        <v>1040</v>
      </c>
    </row>
    <row r="219">
      <c r="A219" s="54" t="b">
        <v>0</v>
      </c>
      <c r="B219" s="54" t="s">
        <v>404</v>
      </c>
      <c r="C219" s="54" t="s">
        <v>405</v>
      </c>
      <c r="D219" s="54" t="s">
        <v>1040</v>
      </c>
    </row>
    <row r="220">
      <c r="A220" s="54" t="b">
        <v>0</v>
      </c>
      <c r="B220" s="54" t="s">
        <v>406</v>
      </c>
      <c r="C220" s="54" t="s">
        <v>407</v>
      </c>
      <c r="D220" s="54" t="s">
        <v>1054</v>
      </c>
    </row>
    <row r="221">
      <c r="A221" s="54" t="b">
        <v>0</v>
      </c>
      <c r="B221" s="54" t="s">
        <v>408</v>
      </c>
      <c r="C221" s="54" t="s">
        <v>407</v>
      </c>
      <c r="D221" s="54" t="s">
        <v>1038</v>
      </c>
    </row>
    <row r="222">
      <c r="A222" s="54" t="b">
        <v>0</v>
      </c>
      <c r="B222" s="54" t="s">
        <v>409</v>
      </c>
      <c r="C222" s="54" t="s">
        <v>73</v>
      </c>
      <c r="D222" s="54" t="s">
        <v>1056</v>
      </c>
    </row>
    <row r="223">
      <c r="A223" s="54" t="b">
        <v>0</v>
      </c>
      <c r="B223" s="54" t="s">
        <v>410</v>
      </c>
      <c r="C223" s="54" t="s">
        <v>411</v>
      </c>
      <c r="D223" s="54" t="s">
        <v>1042</v>
      </c>
    </row>
    <row r="224">
      <c r="A224" s="54" t="b">
        <v>0</v>
      </c>
      <c r="B224" s="54" t="s">
        <v>412</v>
      </c>
      <c r="C224" s="54" t="s">
        <v>413</v>
      </c>
      <c r="D224" s="54" t="s">
        <v>1039</v>
      </c>
    </row>
    <row r="225">
      <c r="A225" s="54" t="b">
        <v>0</v>
      </c>
      <c r="B225" s="54" t="s">
        <v>414</v>
      </c>
      <c r="C225" s="54" t="s">
        <v>131</v>
      </c>
      <c r="D225" s="54" t="s">
        <v>1041</v>
      </c>
    </row>
    <row r="226">
      <c r="A226" s="54" t="b">
        <v>0</v>
      </c>
      <c r="B226" s="54" t="s">
        <v>415</v>
      </c>
      <c r="C226" s="54" t="s">
        <v>40</v>
      </c>
    </row>
    <row r="227">
      <c r="A227" s="54" t="b">
        <v>0</v>
      </c>
      <c r="B227" s="54" t="s">
        <v>416</v>
      </c>
      <c r="C227" s="54" t="s">
        <v>151</v>
      </c>
      <c r="D227" s="54" t="s">
        <v>1041</v>
      </c>
    </row>
    <row r="228">
      <c r="A228" s="54" t="b">
        <v>0</v>
      </c>
      <c r="B228" s="54" t="s">
        <v>417</v>
      </c>
      <c r="C228" s="54" t="s">
        <v>73</v>
      </c>
      <c r="D228" s="54" t="s">
        <v>1047</v>
      </c>
    </row>
    <row r="229">
      <c r="A229" s="54" t="b">
        <v>0</v>
      </c>
      <c r="B229" s="54" t="s">
        <v>418</v>
      </c>
      <c r="C229" s="54" t="s">
        <v>100</v>
      </c>
      <c r="D229" s="54" t="s">
        <v>1041</v>
      </c>
    </row>
    <row r="230">
      <c r="A230" s="54" t="b">
        <v>0</v>
      </c>
      <c r="B230" s="54" t="s">
        <v>419</v>
      </c>
      <c r="C230" s="54" t="s">
        <v>151</v>
      </c>
      <c r="D230" s="54" t="s">
        <v>1050</v>
      </c>
    </row>
    <row r="231">
      <c r="A231" s="54" t="b">
        <v>0</v>
      </c>
      <c r="B231" s="54" t="s">
        <v>420</v>
      </c>
      <c r="C231" s="54" t="s">
        <v>83</v>
      </c>
      <c r="D231" s="54" t="s">
        <v>1039</v>
      </c>
    </row>
    <row r="232">
      <c r="A232" s="54" t="b">
        <v>0</v>
      </c>
      <c r="B232" s="54" t="s">
        <v>421</v>
      </c>
      <c r="C232" s="54" t="s">
        <v>66</v>
      </c>
      <c r="D232" s="54" t="s">
        <v>1041</v>
      </c>
    </row>
    <row r="233">
      <c r="A233" s="54" t="b">
        <v>0</v>
      </c>
      <c r="B233" s="54" t="s">
        <v>422</v>
      </c>
      <c r="C233" s="54" t="s">
        <v>83</v>
      </c>
      <c r="D233" s="54" t="s">
        <v>1039</v>
      </c>
    </row>
    <row r="234">
      <c r="A234" s="54" t="b">
        <v>0</v>
      </c>
      <c r="B234" s="54" t="s">
        <v>423</v>
      </c>
      <c r="C234" s="54" t="s">
        <v>424</v>
      </c>
      <c r="D234" s="54" t="s">
        <v>1056</v>
      </c>
    </row>
    <row r="235">
      <c r="A235" s="54" t="b">
        <v>0</v>
      </c>
      <c r="B235" s="54" t="s">
        <v>425</v>
      </c>
      <c r="C235" s="54" t="s">
        <v>100</v>
      </c>
      <c r="D235" s="54" t="s">
        <v>1044</v>
      </c>
    </row>
    <row r="236">
      <c r="A236" s="54" t="b">
        <v>0</v>
      </c>
      <c r="B236" s="54" t="s">
        <v>426</v>
      </c>
      <c r="C236" s="54" t="s">
        <v>427</v>
      </c>
      <c r="D236" s="54" t="s">
        <v>1039</v>
      </c>
    </row>
    <row r="237">
      <c r="A237" s="54" t="b">
        <v>0</v>
      </c>
      <c r="B237" s="54" t="s">
        <v>428</v>
      </c>
      <c r="C237" s="54" t="s">
        <v>429</v>
      </c>
      <c r="D237" s="54" t="s">
        <v>1042</v>
      </c>
    </row>
    <row r="238">
      <c r="A238" s="54" t="b">
        <v>0</v>
      </c>
      <c r="B238" s="54" t="s">
        <v>430</v>
      </c>
      <c r="C238" s="54" t="s">
        <v>131</v>
      </c>
    </row>
    <row r="239">
      <c r="A239" s="54" t="b">
        <v>0</v>
      </c>
      <c r="B239" s="54" t="s">
        <v>431</v>
      </c>
      <c r="C239" s="54" t="s">
        <v>413</v>
      </c>
      <c r="D239" s="54" t="s">
        <v>1044</v>
      </c>
    </row>
    <row r="240">
      <c r="A240" s="54" t="b">
        <v>0</v>
      </c>
      <c r="B240" s="54" t="s">
        <v>432</v>
      </c>
      <c r="C240" s="54" t="s">
        <v>433</v>
      </c>
      <c r="D240" s="54" t="s">
        <v>1039</v>
      </c>
    </row>
    <row r="241">
      <c r="A241" s="54" t="b">
        <v>0</v>
      </c>
      <c r="B241" s="54" t="s">
        <v>434</v>
      </c>
      <c r="C241" s="54" t="s">
        <v>435</v>
      </c>
      <c r="D241" s="54" t="s">
        <v>1042</v>
      </c>
    </row>
    <row r="242">
      <c r="A242" s="54" t="b">
        <v>0</v>
      </c>
      <c r="B242" s="54" t="s">
        <v>436</v>
      </c>
      <c r="C242" s="54" t="s">
        <v>437</v>
      </c>
      <c r="D242" s="54" t="s">
        <v>1039</v>
      </c>
    </row>
    <row r="243">
      <c r="A243" s="54" t="b">
        <v>0</v>
      </c>
      <c r="B243" s="54" t="s">
        <v>438</v>
      </c>
      <c r="C243" s="54" t="s">
        <v>439</v>
      </c>
      <c r="D243" s="54" t="s">
        <v>1063</v>
      </c>
    </row>
    <row r="244">
      <c r="A244" s="54" t="b">
        <v>0</v>
      </c>
      <c r="B244" s="54" t="s">
        <v>440</v>
      </c>
      <c r="C244" s="54" t="s">
        <v>92</v>
      </c>
      <c r="D244" s="54" t="s">
        <v>1041</v>
      </c>
    </row>
    <row r="245">
      <c r="A245" s="54" t="b">
        <v>1</v>
      </c>
      <c r="B245" s="54" t="s">
        <v>441</v>
      </c>
      <c r="C245" s="54" t="s">
        <v>83</v>
      </c>
      <c r="D245" s="54" t="s">
        <v>1044</v>
      </c>
    </row>
    <row r="246">
      <c r="A246" s="54" t="b">
        <v>0</v>
      </c>
      <c r="B246" s="54" t="s">
        <v>442</v>
      </c>
      <c r="C246" s="54" t="s">
        <v>443</v>
      </c>
      <c r="D246" s="54" t="s">
        <v>1046</v>
      </c>
    </row>
    <row r="247">
      <c r="A247" s="54" t="b">
        <v>0</v>
      </c>
      <c r="B247" s="54" t="s">
        <v>444</v>
      </c>
      <c r="C247" s="54" t="s">
        <v>100</v>
      </c>
      <c r="D247" s="54" t="s">
        <v>1041</v>
      </c>
    </row>
    <row r="248">
      <c r="A248" s="54" t="b">
        <v>0</v>
      </c>
      <c r="B248" s="54" t="s">
        <v>445</v>
      </c>
      <c r="C248" s="54" t="s">
        <v>446</v>
      </c>
      <c r="D248" s="54" t="s">
        <v>1038</v>
      </c>
    </row>
    <row r="249">
      <c r="A249" s="54" t="b">
        <v>0</v>
      </c>
      <c r="B249" s="54" t="s">
        <v>447</v>
      </c>
      <c r="C249" s="54" t="s">
        <v>169</v>
      </c>
      <c r="D249" s="54" t="s">
        <v>1041</v>
      </c>
    </row>
    <row r="250">
      <c r="A250" s="54" t="b">
        <v>0</v>
      </c>
      <c r="B250" s="54" t="s">
        <v>448</v>
      </c>
      <c r="C250" s="54" t="s">
        <v>449</v>
      </c>
      <c r="D250" s="54" t="s">
        <v>1042</v>
      </c>
    </row>
    <row r="251">
      <c r="A251" s="54" t="b">
        <v>0</v>
      </c>
      <c r="B251" s="54" t="s">
        <v>451</v>
      </c>
      <c r="C251" s="54" t="s">
        <v>317</v>
      </c>
      <c r="D251" s="54" t="s">
        <v>1039</v>
      </c>
    </row>
    <row r="252">
      <c r="A252" s="54" t="b">
        <v>0</v>
      </c>
      <c r="B252" s="54" t="s">
        <v>452</v>
      </c>
      <c r="C252" s="54" t="s">
        <v>131</v>
      </c>
      <c r="D252" s="54" t="s">
        <v>1039</v>
      </c>
    </row>
    <row r="253">
      <c r="A253" s="54" t="b">
        <v>0</v>
      </c>
      <c r="B253" s="54" t="s">
        <v>453</v>
      </c>
      <c r="C253" s="54" t="s">
        <v>73</v>
      </c>
      <c r="D253" s="54" t="s">
        <v>1054</v>
      </c>
    </row>
    <row r="254">
      <c r="A254" s="54" t="b">
        <v>1</v>
      </c>
      <c r="B254" s="54" t="s">
        <v>454</v>
      </c>
      <c r="C254" s="54" t="s">
        <v>66</v>
      </c>
      <c r="D254" s="54" t="s">
        <v>1048</v>
      </c>
    </row>
    <row r="255">
      <c r="A255" s="54" t="b">
        <v>0</v>
      </c>
      <c r="B255" s="54" t="s">
        <v>455</v>
      </c>
      <c r="C255" s="54" t="s">
        <v>456</v>
      </c>
      <c r="D255" s="54" t="s">
        <v>1050</v>
      </c>
    </row>
    <row r="256">
      <c r="A256" s="54" t="b">
        <v>0</v>
      </c>
      <c r="B256" s="54" t="s">
        <v>457</v>
      </c>
      <c r="C256" s="54" t="s">
        <v>373</v>
      </c>
      <c r="D256" s="54" t="s">
        <v>1039</v>
      </c>
    </row>
    <row r="257">
      <c r="A257" s="54" t="b">
        <v>0</v>
      </c>
      <c r="B257" s="54" t="s">
        <v>458</v>
      </c>
      <c r="C257" s="54" t="s">
        <v>459</v>
      </c>
    </row>
    <row r="258">
      <c r="A258" s="54" t="b">
        <v>0</v>
      </c>
      <c r="B258" s="54" t="s">
        <v>460</v>
      </c>
      <c r="C258" s="54" t="s">
        <v>131</v>
      </c>
      <c r="D258" s="54" t="s">
        <v>1046</v>
      </c>
    </row>
    <row r="259">
      <c r="A259" s="54" t="b">
        <v>0</v>
      </c>
      <c r="B259" s="54" t="s">
        <v>461</v>
      </c>
      <c r="C259" s="54" t="s">
        <v>301</v>
      </c>
      <c r="D259" s="54" t="s">
        <v>1062</v>
      </c>
    </row>
    <row r="260">
      <c r="A260" s="54" t="b">
        <v>0</v>
      </c>
      <c r="B260" s="54" t="s">
        <v>462</v>
      </c>
      <c r="C260" s="54" t="s">
        <v>66</v>
      </c>
      <c r="D260" s="54" t="s">
        <v>1055</v>
      </c>
    </row>
    <row r="261">
      <c r="A261" s="54" t="b">
        <v>0</v>
      </c>
      <c r="B261" s="54" t="s">
        <v>463</v>
      </c>
      <c r="C261" s="54" t="s">
        <v>31</v>
      </c>
      <c r="D261" s="54" t="s">
        <v>1040</v>
      </c>
    </row>
    <row r="262">
      <c r="A262" s="54" t="b">
        <v>0</v>
      </c>
      <c r="B262" s="54" t="s">
        <v>464</v>
      </c>
      <c r="C262" s="54" t="s">
        <v>465</v>
      </c>
      <c r="D262" s="54" t="s">
        <v>1040</v>
      </c>
    </row>
    <row r="263">
      <c r="A263" s="54" t="b">
        <v>0</v>
      </c>
      <c r="B263" s="54" t="s">
        <v>467</v>
      </c>
      <c r="C263" s="54" t="s">
        <v>248</v>
      </c>
      <c r="D263" s="54" t="s">
        <v>1049</v>
      </c>
    </row>
    <row r="264">
      <c r="A264" s="54" t="b">
        <v>0</v>
      </c>
      <c r="B264" s="54" t="s">
        <v>468</v>
      </c>
      <c r="C264" s="54" t="s">
        <v>469</v>
      </c>
      <c r="D264" s="54" t="s">
        <v>1039</v>
      </c>
    </row>
    <row r="265">
      <c r="A265" s="54" t="b">
        <v>0</v>
      </c>
      <c r="B265" s="54" t="s">
        <v>470</v>
      </c>
      <c r="C265" s="54" t="s">
        <v>471</v>
      </c>
      <c r="D265" s="54" t="s">
        <v>1040</v>
      </c>
    </row>
    <row r="266">
      <c r="A266" s="54" t="b">
        <v>0</v>
      </c>
      <c r="B266" s="54" t="s">
        <v>472</v>
      </c>
      <c r="C266" s="54" t="s">
        <v>473</v>
      </c>
      <c r="D266" s="54" t="s">
        <v>1039</v>
      </c>
    </row>
    <row r="267">
      <c r="A267" s="54" t="b">
        <v>0</v>
      </c>
      <c r="B267" s="54" t="s">
        <v>474</v>
      </c>
      <c r="C267" s="54" t="s">
        <v>475</v>
      </c>
      <c r="D267" s="54" t="s">
        <v>1038</v>
      </c>
    </row>
    <row r="268">
      <c r="A268" s="54" t="b">
        <v>0</v>
      </c>
      <c r="B268" s="54" t="s">
        <v>476</v>
      </c>
      <c r="C268" s="54" t="s">
        <v>477</v>
      </c>
      <c r="D268" s="54" t="s">
        <v>1045</v>
      </c>
    </row>
    <row r="269">
      <c r="A269" s="54" t="b">
        <v>0</v>
      </c>
      <c r="B269" s="54" t="s">
        <v>478</v>
      </c>
      <c r="C269" s="54" t="s">
        <v>53</v>
      </c>
      <c r="D269" s="54" t="s">
        <v>1039</v>
      </c>
    </row>
    <row r="270">
      <c r="A270" s="54" t="b">
        <v>0</v>
      </c>
      <c r="B270" s="54" t="s">
        <v>479</v>
      </c>
      <c r="C270" s="54" t="s">
        <v>131</v>
      </c>
      <c r="D270" s="54" t="s">
        <v>1040</v>
      </c>
    </row>
    <row r="271">
      <c r="A271" s="54" t="b">
        <v>0</v>
      </c>
      <c r="B271" s="54" t="s">
        <v>480</v>
      </c>
      <c r="C271" s="54" t="s">
        <v>481</v>
      </c>
      <c r="D271" s="54" t="s">
        <v>1040</v>
      </c>
    </row>
    <row r="272">
      <c r="A272" s="54" t="b">
        <v>0</v>
      </c>
      <c r="B272" s="54" t="s">
        <v>482</v>
      </c>
      <c r="C272" s="54" t="s">
        <v>483</v>
      </c>
      <c r="D272" s="54" t="s">
        <v>1038</v>
      </c>
    </row>
    <row r="273">
      <c r="A273" s="54" t="b">
        <v>0</v>
      </c>
      <c r="B273" s="54" t="s">
        <v>484</v>
      </c>
      <c r="C273" s="54" t="s">
        <v>83</v>
      </c>
      <c r="D273" s="54" t="s">
        <v>1039</v>
      </c>
    </row>
    <row r="274">
      <c r="A274" s="54" t="b">
        <v>0</v>
      </c>
      <c r="B274" s="54" t="s">
        <v>485</v>
      </c>
      <c r="C274" s="54" t="s">
        <v>486</v>
      </c>
      <c r="D274" s="54" t="s">
        <v>1067</v>
      </c>
    </row>
    <row r="275">
      <c r="A275" s="54" t="b">
        <v>0</v>
      </c>
      <c r="B275" s="54" t="s">
        <v>487</v>
      </c>
      <c r="C275" s="54" t="s">
        <v>488</v>
      </c>
      <c r="D275" s="54" t="s">
        <v>1064</v>
      </c>
    </row>
    <row r="276">
      <c r="A276" s="54" t="b">
        <v>0</v>
      </c>
      <c r="B276" s="54" t="s">
        <v>489</v>
      </c>
      <c r="C276" s="54" t="s">
        <v>490</v>
      </c>
      <c r="D276" s="54" t="s">
        <v>1038</v>
      </c>
    </row>
    <row r="277">
      <c r="A277" s="54" t="b">
        <v>0</v>
      </c>
      <c r="B277" s="54" t="s">
        <v>491</v>
      </c>
      <c r="C277" s="54" t="s">
        <v>492</v>
      </c>
      <c r="D277" s="54" t="s">
        <v>1062</v>
      </c>
    </row>
    <row r="278">
      <c r="A278" s="54" t="b">
        <v>0</v>
      </c>
      <c r="B278" s="54" t="s">
        <v>493</v>
      </c>
      <c r="C278" s="54" t="s">
        <v>494</v>
      </c>
      <c r="D278" s="54" t="s">
        <v>1056</v>
      </c>
    </row>
    <row r="279">
      <c r="A279" s="54" t="b">
        <v>0</v>
      </c>
      <c r="B279" s="54" t="s">
        <v>495</v>
      </c>
      <c r="C279" s="54" t="s">
        <v>433</v>
      </c>
      <c r="D279" s="54" t="s">
        <v>1055</v>
      </c>
    </row>
    <row r="280">
      <c r="A280" s="54" t="b">
        <v>0</v>
      </c>
      <c r="B280" s="54" t="s">
        <v>496</v>
      </c>
      <c r="C280" s="54" t="s">
        <v>131</v>
      </c>
      <c r="D280" s="54" t="s">
        <v>1057</v>
      </c>
    </row>
    <row r="281">
      <c r="A281" s="54" t="b">
        <v>0</v>
      </c>
      <c r="B281" s="54" t="s">
        <v>497</v>
      </c>
      <c r="C281" s="54" t="s">
        <v>57</v>
      </c>
      <c r="D281" s="54" t="s">
        <v>1041</v>
      </c>
    </row>
    <row r="282">
      <c r="A282" s="54" t="b">
        <v>0</v>
      </c>
      <c r="B282" s="54" t="s">
        <v>498</v>
      </c>
      <c r="C282" s="54" t="s">
        <v>286</v>
      </c>
      <c r="D282" s="54" t="s">
        <v>1055</v>
      </c>
    </row>
    <row r="283">
      <c r="A283" s="54" t="b">
        <v>0</v>
      </c>
      <c r="B283" s="54" t="s">
        <v>499</v>
      </c>
      <c r="C283" s="54" t="s">
        <v>83</v>
      </c>
      <c r="D283" s="54" t="s">
        <v>1039</v>
      </c>
    </row>
    <row r="284">
      <c r="A284" s="54" t="b">
        <v>0</v>
      </c>
      <c r="B284" s="54" t="s">
        <v>500</v>
      </c>
      <c r="C284" s="54" t="s">
        <v>501</v>
      </c>
      <c r="D284" s="54" t="s">
        <v>1064</v>
      </c>
    </row>
    <row r="285">
      <c r="A285" s="54" t="b">
        <v>0</v>
      </c>
      <c r="B285" s="54" t="s">
        <v>502</v>
      </c>
      <c r="C285" s="54" t="s">
        <v>24</v>
      </c>
      <c r="D285" s="54" t="s">
        <v>1039</v>
      </c>
    </row>
    <row r="286">
      <c r="A286" s="54" t="b">
        <v>0</v>
      </c>
      <c r="B286" s="54" t="s">
        <v>503</v>
      </c>
      <c r="C286" s="54" t="s">
        <v>504</v>
      </c>
      <c r="D286" s="54" t="s">
        <v>1046</v>
      </c>
    </row>
    <row r="287">
      <c r="A287" s="54" t="b">
        <v>0</v>
      </c>
      <c r="B287" s="54" t="s">
        <v>505</v>
      </c>
      <c r="C287" s="54" t="s">
        <v>506</v>
      </c>
      <c r="D287" s="54" t="s">
        <v>1052</v>
      </c>
    </row>
    <row r="288">
      <c r="A288" s="54" t="b">
        <v>0</v>
      </c>
      <c r="B288" s="54" t="s">
        <v>507</v>
      </c>
      <c r="C288" s="54" t="s">
        <v>427</v>
      </c>
      <c r="D288" s="54" t="s">
        <v>1039</v>
      </c>
    </row>
    <row r="289">
      <c r="A289" s="54" t="b">
        <v>0</v>
      </c>
      <c r="B289" s="54" t="s">
        <v>508</v>
      </c>
      <c r="C289" s="54" t="s">
        <v>143</v>
      </c>
      <c r="D289" s="54" t="s">
        <v>1044</v>
      </c>
    </row>
    <row r="290">
      <c r="A290" s="54" t="b">
        <v>0</v>
      </c>
      <c r="B290" s="54" t="s">
        <v>509</v>
      </c>
      <c r="C290" s="54" t="s">
        <v>510</v>
      </c>
      <c r="D290" s="54" t="s">
        <v>1044</v>
      </c>
    </row>
    <row r="291">
      <c r="A291" s="54" t="b">
        <v>0</v>
      </c>
      <c r="B291" s="54" t="s">
        <v>511</v>
      </c>
      <c r="C291" s="54" t="s">
        <v>399</v>
      </c>
      <c r="D291" s="54" t="s">
        <v>1039</v>
      </c>
    </row>
    <row r="292">
      <c r="A292" s="54" t="b">
        <v>0</v>
      </c>
      <c r="B292" s="54" t="s">
        <v>512</v>
      </c>
      <c r="C292" s="54" t="s">
        <v>24</v>
      </c>
      <c r="D292" s="54" t="s">
        <v>1044</v>
      </c>
    </row>
    <row r="293">
      <c r="A293" s="54" t="b">
        <v>0</v>
      </c>
      <c r="B293" s="54" t="s">
        <v>513</v>
      </c>
      <c r="C293" s="54" t="s">
        <v>514</v>
      </c>
      <c r="D293" s="54" t="s">
        <v>1044</v>
      </c>
    </row>
    <row r="294">
      <c r="A294" s="54" t="b">
        <v>0</v>
      </c>
      <c r="B294" s="54" t="s">
        <v>515</v>
      </c>
      <c r="C294" s="54" t="s">
        <v>57</v>
      </c>
      <c r="D294" s="54" t="s">
        <v>1062</v>
      </c>
    </row>
    <row r="295">
      <c r="A295" s="54" t="b">
        <v>0</v>
      </c>
      <c r="B295" s="54" t="s">
        <v>517</v>
      </c>
      <c r="C295" s="54" t="s">
        <v>518</v>
      </c>
      <c r="D295" s="54" t="s">
        <v>1039</v>
      </c>
    </row>
    <row r="296">
      <c r="A296" s="54" t="b">
        <v>0</v>
      </c>
      <c r="B296" s="54" t="s">
        <v>519</v>
      </c>
      <c r="C296" s="54" t="s">
        <v>83</v>
      </c>
      <c r="D296" s="54" t="s">
        <v>1039</v>
      </c>
    </row>
    <row r="297">
      <c r="A297" s="54" t="b">
        <v>0</v>
      </c>
      <c r="B297" s="54" t="s">
        <v>520</v>
      </c>
      <c r="C297" s="54" t="s">
        <v>521</v>
      </c>
      <c r="D297" s="54" t="s">
        <v>1054</v>
      </c>
    </row>
    <row r="298">
      <c r="A298" s="54" t="b">
        <v>0</v>
      </c>
      <c r="B298" s="54" t="s">
        <v>522</v>
      </c>
      <c r="C298" s="54" t="s">
        <v>73</v>
      </c>
      <c r="D298" s="54" t="s">
        <v>1053</v>
      </c>
    </row>
    <row r="299">
      <c r="A299" s="54" t="b">
        <v>0</v>
      </c>
      <c r="B299" s="54" t="s">
        <v>523</v>
      </c>
      <c r="C299" s="54" t="s">
        <v>375</v>
      </c>
      <c r="D299" s="54" t="s">
        <v>1052</v>
      </c>
    </row>
    <row r="300">
      <c r="A300" s="54" t="b">
        <v>0</v>
      </c>
      <c r="B300" s="54" t="s">
        <v>524</v>
      </c>
      <c r="C300" s="54" t="s">
        <v>131</v>
      </c>
      <c r="D300" s="54" t="s">
        <v>1065</v>
      </c>
    </row>
    <row r="301">
      <c r="A301" s="54" t="b">
        <v>0</v>
      </c>
      <c r="B301" s="54" t="s">
        <v>525</v>
      </c>
      <c r="C301" s="54" t="s">
        <v>526</v>
      </c>
      <c r="D301" s="54" t="s">
        <v>1038</v>
      </c>
    </row>
    <row r="302">
      <c r="A302" s="54" t="b">
        <v>0</v>
      </c>
      <c r="B302" s="54" t="s">
        <v>527</v>
      </c>
      <c r="C302" s="54" t="s">
        <v>301</v>
      </c>
      <c r="D302" s="54" t="s">
        <v>1049</v>
      </c>
    </row>
    <row r="303">
      <c r="A303" s="54" t="b">
        <v>0</v>
      </c>
      <c r="B303" s="54" t="s">
        <v>528</v>
      </c>
      <c r="C303" s="54" t="s">
        <v>529</v>
      </c>
      <c r="D303" s="54" t="s">
        <v>1064</v>
      </c>
    </row>
    <row r="304">
      <c r="A304" s="54" t="b">
        <v>0</v>
      </c>
      <c r="B304" s="54" t="s">
        <v>530</v>
      </c>
      <c r="C304" s="54" t="s">
        <v>317</v>
      </c>
      <c r="D304" s="54" t="s">
        <v>1039</v>
      </c>
    </row>
    <row r="305">
      <c r="A305" s="54" t="b">
        <v>0</v>
      </c>
      <c r="B305" s="54" t="s">
        <v>531</v>
      </c>
      <c r="C305" s="54" t="s">
        <v>167</v>
      </c>
      <c r="D305" s="54" t="s">
        <v>1044</v>
      </c>
    </row>
    <row r="306">
      <c r="A306" s="54" t="b">
        <v>0</v>
      </c>
      <c r="B306" s="54" t="s">
        <v>532</v>
      </c>
      <c r="C306" s="54" t="s">
        <v>131</v>
      </c>
      <c r="D306" s="54" t="s">
        <v>1057</v>
      </c>
    </row>
    <row r="307">
      <c r="A307" s="54" t="b">
        <v>0</v>
      </c>
      <c r="B307" s="54" t="s">
        <v>533</v>
      </c>
      <c r="C307" s="54" t="s">
        <v>365</v>
      </c>
      <c r="D307" s="54" t="s">
        <v>1056</v>
      </c>
    </row>
    <row r="308">
      <c r="A308" s="54" t="b">
        <v>0</v>
      </c>
      <c r="B308" s="54" t="s">
        <v>534</v>
      </c>
      <c r="C308" s="54" t="s">
        <v>131</v>
      </c>
      <c r="D308" s="54" t="s">
        <v>1062</v>
      </c>
    </row>
    <row r="309">
      <c r="A309" s="54" t="b">
        <v>0</v>
      </c>
      <c r="B309" s="54" t="s">
        <v>535</v>
      </c>
      <c r="C309" s="54" t="s">
        <v>151</v>
      </c>
      <c r="D309" s="54" t="s">
        <v>1045</v>
      </c>
    </row>
    <row r="310">
      <c r="A310" s="54" t="b">
        <v>0</v>
      </c>
      <c r="B310" s="54" t="s">
        <v>536</v>
      </c>
      <c r="C310" s="54" t="s">
        <v>151</v>
      </c>
      <c r="D310" s="54" t="s">
        <v>1041</v>
      </c>
    </row>
    <row r="311">
      <c r="A311" s="54" t="b">
        <v>0</v>
      </c>
      <c r="B311" s="54" t="s">
        <v>537</v>
      </c>
      <c r="C311" s="54" t="s">
        <v>59</v>
      </c>
      <c r="D311" s="54" t="s">
        <v>1060</v>
      </c>
    </row>
    <row r="312">
      <c r="A312" s="54" t="b">
        <v>0</v>
      </c>
      <c r="B312" s="54" t="s">
        <v>538</v>
      </c>
      <c r="C312" s="54" t="s">
        <v>539</v>
      </c>
      <c r="D312" s="54" t="s">
        <v>1042</v>
      </c>
    </row>
    <row r="313">
      <c r="A313" s="54" t="b">
        <v>0</v>
      </c>
      <c r="B313" s="54" t="s">
        <v>541</v>
      </c>
      <c r="C313" s="54" t="s">
        <v>542</v>
      </c>
      <c r="D313" s="54" t="s">
        <v>1042</v>
      </c>
    </row>
    <row r="314">
      <c r="A314" s="54" t="b">
        <v>0</v>
      </c>
      <c r="B314" s="54" t="s">
        <v>543</v>
      </c>
      <c r="C314" s="54" t="s">
        <v>544</v>
      </c>
      <c r="D314" s="54" t="s">
        <v>1056</v>
      </c>
    </row>
    <row r="315">
      <c r="A315" s="54" t="b">
        <v>0</v>
      </c>
      <c r="B315" s="54" t="s">
        <v>545</v>
      </c>
      <c r="C315" s="54" t="s">
        <v>236</v>
      </c>
      <c r="D315" s="54" t="s">
        <v>1041</v>
      </c>
    </row>
    <row r="316">
      <c r="A316" s="54" t="b">
        <v>0</v>
      </c>
      <c r="B316" s="54" t="s">
        <v>546</v>
      </c>
      <c r="C316" s="54" t="s">
        <v>117</v>
      </c>
      <c r="D316" s="54" t="s">
        <v>1064</v>
      </c>
    </row>
    <row r="317">
      <c r="A317" s="54" t="b">
        <v>0</v>
      </c>
      <c r="B317" s="54" t="s">
        <v>547</v>
      </c>
      <c r="C317" s="54" t="s">
        <v>548</v>
      </c>
      <c r="D317" s="54" t="s">
        <v>1039</v>
      </c>
    </row>
    <row r="318">
      <c r="A318" s="54" t="b">
        <v>0</v>
      </c>
      <c r="B318" s="54" t="s">
        <v>549</v>
      </c>
      <c r="C318" s="54" t="s">
        <v>131</v>
      </c>
      <c r="D318" s="54" t="s">
        <v>1057</v>
      </c>
    </row>
    <row r="319">
      <c r="A319" s="54" t="b">
        <v>0</v>
      </c>
      <c r="B319" s="54" t="s">
        <v>550</v>
      </c>
      <c r="C319" s="54" t="s">
        <v>551</v>
      </c>
      <c r="D319" s="54" t="s">
        <v>1044</v>
      </c>
    </row>
    <row r="320">
      <c r="A320" s="54" t="b">
        <v>0</v>
      </c>
      <c r="B320" s="54" t="s">
        <v>552</v>
      </c>
      <c r="C320" s="54" t="s">
        <v>553</v>
      </c>
    </row>
    <row r="321">
      <c r="A321" s="54" t="b">
        <v>0</v>
      </c>
      <c r="B321" s="54" t="s">
        <v>554</v>
      </c>
      <c r="C321" s="54" t="s">
        <v>555</v>
      </c>
      <c r="D321" s="54" t="s">
        <v>1061</v>
      </c>
    </row>
    <row r="322">
      <c r="A322" s="54" t="b">
        <v>0</v>
      </c>
      <c r="B322" s="54" t="s">
        <v>556</v>
      </c>
      <c r="C322" s="54" t="s">
        <v>123</v>
      </c>
      <c r="D322" s="54" t="s">
        <v>1039</v>
      </c>
    </row>
    <row r="323">
      <c r="A323" s="54" t="b">
        <v>0</v>
      </c>
      <c r="B323" s="54" t="s">
        <v>557</v>
      </c>
      <c r="C323" s="54" t="s">
        <v>558</v>
      </c>
      <c r="D323" s="54" t="s">
        <v>1038</v>
      </c>
    </row>
    <row r="324">
      <c r="A324" s="54" t="b">
        <v>1</v>
      </c>
      <c r="B324" s="54" t="s">
        <v>559</v>
      </c>
      <c r="C324" s="54" t="s">
        <v>510</v>
      </c>
      <c r="D324" s="54" t="s">
        <v>1044</v>
      </c>
    </row>
    <row r="325">
      <c r="A325" s="54" t="b">
        <v>0</v>
      </c>
      <c r="B325" s="54" t="s">
        <v>560</v>
      </c>
      <c r="C325" s="54" t="s">
        <v>47</v>
      </c>
      <c r="D325" s="54" t="s">
        <v>1053</v>
      </c>
    </row>
    <row r="326">
      <c r="A326" s="54" t="b">
        <v>0</v>
      </c>
      <c r="B326" s="54" t="s">
        <v>561</v>
      </c>
      <c r="C326" s="54" t="s">
        <v>100</v>
      </c>
    </row>
    <row r="327">
      <c r="A327" s="54" t="b">
        <v>0</v>
      </c>
      <c r="B327" s="54" t="s">
        <v>562</v>
      </c>
      <c r="C327" s="54" t="s">
        <v>66</v>
      </c>
      <c r="D327" s="54" t="s">
        <v>1055</v>
      </c>
    </row>
    <row r="328">
      <c r="A328" s="54" t="b">
        <v>0</v>
      </c>
      <c r="B328" s="54" t="s">
        <v>563</v>
      </c>
      <c r="C328" s="54" t="s">
        <v>51</v>
      </c>
      <c r="D328" s="54" t="s">
        <v>1043</v>
      </c>
    </row>
    <row r="329">
      <c r="A329" s="54" t="b">
        <v>0</v>
      </c>
      <c r="B329" s="54" t="s">
        <v>564</v>
      </c>
      <c r="C329" s="54" t="s">
        <v>565</v>
      </c>
      <c r="D329" s="54" t="s">
        <v>1039</v>
      </c>
    </row>
    <row r="330">
      <c r="A330" s="54" t="b">
        <v>0</v>
      </c>
      <c r="B330" s="54" t="s">
        <v>566</v>
      </c>
      <c r="C330" s="54" t="s">
        <v>567</v>
      </c>
      <c r="D330" s="54" t="s">
        <v>1042</v>
      </c>
    </row>
    <row r="331">
      <c r="A331" s="54" t="b">
        <v>0</v>
      </c>
      <c r="B331" s="54" t="s">
        <v>568</v>
      </c>
      <c r="C331" s="54" t="s">
        <v>569</v>
      </c>
      <c r="D331" s="54" t="s">
        <v>1054</v>
      </c>
    </row>
    <row r="332">
      <c r="A332" s="54" t="b">
        <v>0</v>
      </c>
      <c r="B332" s="54" t="s">
        <v>570</v>
      </c>
      <c r="C332" s="54" t="s">
        <v>100</v>
      </c>
      <c r="D332" s="54" t="s">
        <v>1038</v>
      </c>
    </row>
    <row r="333">
      <c r="A333" s="54" t="b">
        <v>0</v>
      </c>
      <c r="B333" s="54" t="s">
        <v>571</v>
      </c>
      <c r="C333" s="54" t="s">
        <v>572</v>
      </c>
      <c r="D333" s="54" t="s">
        <v>1063</v>
      </c>
    </row>
    <row r="334">
      <c r="A334" s="54" t="b">
        <v>0</v>
      </c>
      <c r="B334" s="54" t="s">
        <v>573</v>
      </c>
      <c r="C334" s="54" t="s">
        <v>574</v>
      </c>
      <c r="D334" s="54" t="s">
        <v>1042</v>
      </c>
    </row>
    <row r="335">
      <c r="A335" s="54" t="b">
        <v>0</v>
      </c>
      <c r="B335" s="54" t="s">
        <v>575</v>
      </c>
      <c r="C335" s="54" t="s">
        <v>367</v>
      </c>
      <c r="D335" s="54" t="s">
        <v>1046</v>
      </c>
    </row>
    <row r="336">
      <c r="A336" s="54" t="b">
        <v>0</v>
      </c>
      <c r="B336" s="54" t="s">
        <v>576</v>
      </c>
      <c r="C336" s="54" t="s">
        <v>577</v>
      </c>
      <c r="D336" s="54" t="s">
        <v>1064</v>
      </c>
    </row>
    <row r="337">
      <c r="A337" s="54" t="b">
        <v>0</v>
      </c>
      <c r="B337" s="54" t="s">
        <v>578</v>
      </c>
      <c r="C337" s="54" t="s">
        <v>131</v>
      </c>
      <c r="D337" s="54" t="s">
        <v>1048</v>
      </c>
    </row>
    <row r="338">
      <c r="A338" s="54" t="b">
        <v>0</v>
      </c>
      <c r="B338" s="54" t="s">
        <v>579</v>
      </c>
      <c r="C338" s="54" t="s">
        <v>580</v>
      </c>
      <c r="D338" s="54" t="s">
        <v>1044</v>
      </c>
    </row>
    <row r="339">
      <c r="A339" s="54" t="b">
        <v>0</v>
      </c>
      <c r="B339" s="54" t="s">
        <v>581</v>
      </c>
      <c r="C339" s="54" t="s">
        <v>83</v>
      </c>
      <c r="D339" s="54" t="s">
        <v>1039</v>
      </c>
    </row>
    <row r="340">
      <c r="A340" s="54" t="b">
        <v>0</v>
      </c>
      <c r="B340" s="54" t="s">
        <v>582</v>
      </c>
      <c r="C340" s="54" t="s">
        <v>583</v>
      </c>
      <c r="D340" s="54" t="s">
        <v>1067</v>
      </c>
    </row>
    <row r="341">
      <c r="A341" s="54" t="b">
        <v>0</v>
      </c>
      <c r="B341" s="54" t="s">
        <v>584</v>
      </c>
      <c r="C341" s="54" t="s">
        <v>356</v>
      </c>
      <c r="D341" s="54" t="s">
        <v>1039</v>
      </c>
    </row>
    <row r="342">
      <c r="A342" s="54" t="b">
        <v>0</v>
      </c>
      <c r="B342" s="54" t="s">
        <v>585</v>
      </c>
      <c r="C342" s="54" t="s">
        <v>443</v>
      </c>
      <c r="D342" s="54" t="s">
        <v>1041</v>
      </c>
    </row>
    <row r="343">
      <c r="A343" s="54" t="b">
        <v>0</v>
      </c>
      <c r="B343" s="54" t="s">
        <v>586</v>
      </c>
      <c r="C343" s="54" t="s">
        <v>587</v>
      </c>
      <c r="D343" s="54" t="s">
        <v>1039</v>
      </c>
    </row>
    <row r="344">
      <c r="A344" s="54" t="b">
        <v>0</v>
      </c>
      <c r="B344" s="54" t="s">
        <v>588</v>
      </c>
      <c r="C344" s="54" t="s">
        <v>589</v>
      </c>
      <c r="D344" s="54" t="s">
        <v>1038</v>
      </c>
    </row>
    <row r="345">
      <c r="A345" s="54" t="b">
        <v>0</v>
      </c>
      <c r="B345" s="54" t="s">
        <v>590</v>
      </c>
      <c r="C345" s="54" t="s">
        <v>228</v>
      </c>
      <c r="D345" s="54" t="s">
        <v>1040</v>
      </c>
    </row>
    <row r="346">
      <c r="A346" s="54" t="b">
        <v>0</v>
      </c>
      <c r="B346" s="54" t="s">
        <v>591</v>
      </c>
      <c r="C346" s="54" t="s">
        <v>510</v>
      </c>
      <c r="D346" s="54" t="s">
        <v>1042</v>
      </c>
    </row>
    <row r="347">
      <c r="A347" s="54" t="b">
        <v>0</v>
      </c>
      <c r="B347" s="54" t="s">
        <v>592</v>
      </c>
      <c r="C347" s="54" t="s">
        <v>83</v>
      </c>
      <c r="D347" s="54" t="s">
        <v>1056</v>
      </c>
    </row>
    <row r="348">
      <c r="A348" s="54" t="b">
        <v>0</v>
      </c>
      <c r="B348" s="54" t="s">
        <v>593</v>
      </c>
      <c r="C348" s="54" t="s">
        <v>594</v>
      </c>
      <c r="D348" s="54" t="s">
        <v>1039</v>
      </c>
    </row>
    <row r="349">
      <c r="A349" s="54" t="b">
        <v>0</v>
      </c>
      <c r="B349" s="54" t="s">
        <v>595</v>
      </c>
      <c r="C349" s="54" t="s">
        <v>66</v>
      </c>
      <c r="D349" s="54" t="s">
        <v>1042</v>
      </c>
    </row>
    <row r="350">
      <c r="A350" s="54" t="b">
        <v>0</v>
      </c>
      <c r="B350" s="54" t="s">
        <v>596</v>
      </c>
      <c r="C350" s="54" t="s">
        <v>83</v>
      </c>
      <c r="D350" s="54" t="s">
        <v>1039</v>
      </c>
    </row>
    <row r="351">
      <c r="A351" s="54" t="b">
        <v>0</v>
      </c>
      <c r="B351" s="54" t="s">
        <v>597</v>
      </c>
      <c r="C351" s="54" t="s">
        <v>598</v>
      </c>
      <c r="D351" s="54" t="s">
        <v>1042</v>
      </c>
    </row>
    <row r="352">
      <c r="A352" s="54" t="b">
        <v>0</v>
      </c>
      <c r="B352" s="54" t="s">
        <v>599</v>
      </c>
      <c r="C352" s="54" t="s">
        <v>548</v>
      </c>
      <c r="D352" s="54" t="s">
        <v>1067</v>
      </c>
    </row>
    <row r="353">
      <c r="A353" s="54" t="b">
        <v>0</v>
      </c>
      <c r="B353" s="54" t="s">
        <v>600</v>
      </c>
      <c r="C353" s="54" t="s">
        <v>131</v>
      </c>
      <c r="D353" s="54" t="s">
        <v>1056</v>
      </c>
    </row>
    <row r="354">
      <c r="A354" s="54" t="b">
        <v>0</v>
      </c>
      <c r="B354" s="54" t="s">
        <v>601</v>
      </c>
      <c r="C354" s="54" t="s">
        <v>602</v>
      </c>
      <c r="D354" s="54" t="s">
        <v>1052</v>
      </c>
    </row>
    <row r="355">
      <c r="A355" s="54" t="b">
        <v>0</v>
      </c>
      <c r="B355" s="54" t="s">
        <v>603</v>
      </c>
      <c r="C355" s="54" t="s">
        <v>131</v>
      </c>
      <c r="D355" s="54" t="s">
        <v>1057</v>
      </c>
    </row>
    <row r="356">
      <c r="A356" s="54" t="b">
        <v>0</v>
      </c>
      <c r="B356" s="54" t="s">
        <v>604</v>
      </c>
      <c r="C356" s="54" t="s">
        <v>605</v>
      </c>
      <c r="D356" s="54" t="s">
        <v>1038</v>
      </c>
    </row>
    <row r="357">
      <c r="A357" s="54" t="b">
        <v>0</v>
      </c>
      <c r="B357" s="54" t="s">
        <v>606</v>
      </c>
      <c r="C357" s="54" t="s">
        <v>291</v>
      </c>
      <c r="D357" s="54" t="s">
        <v>1061</v>
      </c>
    </row>
    <row r="358">
      <c r="A358" s="54" t="b">
        <v>0</v>
      </c>
      <c r="B358" s="54" t="s">
        <v>607</v>
      </c>
      <c r="C358" s="54" t="s">
        <v>608</v>
      </c>
      <c r="D358" s="54" t="s">
        <v>1045</v>
      </c>
    </row>
    <row r="359">
      <c r="A359" s="54" t="b">
        <v>0</v>
      </c>
      <c r="B359" s="63" t="s">
        <v>609</v>
      </c>
      <c r="C359" s="54" t="s">
        <v>518</v>
      </c>
      <c r="D359" s="54" t="s">
        <v>1044</v>
      </c>
    </row>
    <row r="360">
      <c r="A360" s="54" t="b">
        <v>0</v>
      </c>
      <c r="B360" s="54" t="s">
        <v>610</v>
      </c>
      <c r="C360" s="54" t="s">
        <v>100</v>
      </c>
      <c r="D360" s="54" t="s">
        <v>1056</v>
      </c>
    </row>
    <row r="361">
      <c r="A361" s="54" t="b">
        <v>0</v>
      </c>
      <c r="B361" s="54" t="s">
        <v>611</v>
      </c>
      <c r="C361" s="54" t="s">
        <v>131</v>
      </c>
      <c r="D361" s="54" t="s">
        <v>1059</v>
      </c>
    </row>
    <row r="362">
      <c r="A362" s="54" t="b">
        <v>0</v>
      </c>
      <c r="B362" s="54" t="s">
        <v>612</v>
      </c>
      <c r="C362" s="54" t="s">
        <v>157</v>
      </c>
      <c r="D362" s="54" t="s">
        <v>1044</v>
      </c>
    </row>
    <row r="363">
      <c r="A363" s="54" t="b">
        <v>0</v>
      </c>
      <c r="B363" s="54" t="s">
        <v>613</v>
      </c>
      <c r="C363" s="54" t="s">
        <v>614</v>
      </c>
      <c r="D363" s="54" t="s">
        <v>1039</v>
      </c>
    </row>
    <row r="364">
      <c r="A364" s="54" t="b">
        <v>0</v>
      </c>
      <c r="B364" s="54" t="s">
        <v>615</v>
      </c>
      <c r="C364" s="54" t="s">
        <v>616</v>
      </c>
      <c r="D364" s="54" t="s">
        <v>1042</v>
      </c>
    </row>
    <row r="365">
      <c r="A365" s="54" t="b">
        <v>0</v>
      </c>
      <c r="B365" s="54" t="s">
        <v>617</v>
      </c>
      <c r="C365" s="54" t="s">
        <v>57</v>
      </c>
      <c r="D365" s="54" t="s">
        <v>1041</v>
      </c>
    </row>
    <row r="366">
      <c r="A366" s="54" t="b">
        <v>1</v>
      </c>
      <c r="B366" s="54" t="s">
        <v>618</v>
      </c>
      <c r="C366" s="54" t="s">
        <v>619</v>
      </c>
      <c r="D366" s="54" t="s">
        <v>1048</v>
      </c>
    </row>
    <row r="367">
      <c r="A367" s="54" t="b">
        <v>1</v>
      </c>
      <c r="B367" s="54" t="s">
        <v>620</v>
      </c>
      <c r="C367" s="54" t="s">
        <v>621</v>
      </c>
      <c r="D367" s="54" t="s">
        <v>1039</v>
      </c>
    </row>
    <row r="368">
      <c r="A368" s="54" t="b">
        <v>0</v>
      </c>
      <c r="B368" s="54" t="s">
        <v>622</v>
      </c>
      <c r="C368" s="54" t="s">
        <v>24</v>
      </c>
      <c r="D368" s="54" t="s">
        <v>1039</v>
      </c>
    </row>
    <row r="369">
      <c r="A369" s="54" t="b">
        <v>0</v>
      </c>
      <c r="B369" s="54" t="s">
        <v>623</v>
      </c>
      <c r="C369" s="54" t="s">
        <v>131</v>
      </c>
      <c r="D369" s="54" t="s">
        <v>1053</v>
      </c>
    </row>
    <row r="370">
      <c r="A370" s="54" t="b">
        <v>0</v>
      </c>
      <c r="B370" s="54" t="s">
        <v>624</v>
      </c>
      <c r="C370" s="54" t="s">
        <v>317</v>
      </c>
      <c r="D370" s="54" t="s">
        <v>1056</v>
      </c>
    </row>
    <row r="371">
      <c r="A371" s="54" t="b">
        <v>0</v>
      </c>
      <c r="B371" s="54" t="s">
        <v>625</v>
      </c>
      <c r="C371" s="54" t="s">
        <v>626</v>
      </c>
      <c r="D371" s="54" t="s">
        <v>1039</v>
      </c>
    </row>
    <row r="372">
      <c r="A372" s="54" t="b">
        <v>0</v>
      </c>
      <c r="B372" s="54" t="s">
        <v>627</v>
      </c>
      <c r="C372" s="54" t="s">
        <v>544</v>
      </c>
      <c r="D372" s="54" t="s">
        <v>1056</v>
      </c>
    </row>
    <row r="373">
      <c r="A373" s="54" t="b">
        <v>0</v>
      </c>
      <c r="B373" s="54" t="s">
        <v>628</v>
      </c>
      <c r="C373" s="54" t="s">
        <v>83</v>
      </c>
      <c r="D373" s="54" t="s">
        <v>1039</v>
      </c>
    </row>
    <row r="374">
      <c r="A374" s="54" t="b">
        <v>0</v>
      </c>
      <c r="B374" s="54" t="s">
        <v>629</v>
      </c>
      <c r="C374" s="54" t="s">
        <v>630</v>
      </c>
      <c r="D374" s="54" t="s">
        <v>1046</v>
      </c>
    </row>
    <row r="375">
      <c r="A375" s="54" t="b">
        <v>0</v>
      </c>
      <c r="B375" s="54" t="s">
        <v>631</v>
      </c>
      <c r="C375" s="54" t="s">
        <v>131</v>
      </c>
      <c r="D375" s="54" t="s">
        <v>1068</v>
      </c>
    </row>
    <row r="376">
      <c r="A376" s="54" t="b">
        <v>0</v>
      </c>
      <c r="B376" s="54" t="s">
        <v>632</v>
      </c>
      <c r="C376" s="54" t="s">
        <v>633</v>
      </c>
      <c r="D376" s="54" t="s">
        <v>1040</v>
      </c>
    </row>
    <row r="377">
      <c r="A377" s="54" t="b">
        <v>0</v>
      </c>
      <c r="B377" s="54" t="s">
        <v>634</v>
      </c>
      <c r="C377" s="54" t="s">
        <v>143</v>
      </c>
      <c r="D377" s="54" t="s">
        <v>1044</v>
      </c>
    </row>
    <row r="378">
      <c r="A378" s="54" t="b">
        <v>0</v>
      </c>
      <c r="B378" s="54" t="s">
        <v>635</v>
      </c>
      <c r="C378" s="54" t="s">
        <v>636</v>
      </c>
      <c r="D378" s="54" t="s">
        <v>1064</v>
      </c>
    </row>
    <row r="379">
      <c r="A379" s="54" t="b">
        <v>0</v>
      </c>
      <c r="B379" s="54" t="s">
        <v>637</v>
      </c>
      <c r="C379" s="54" t="s">
        <v>638</v>
      </c>
      <c r="D379" s="54" t="s">
        <v>1039</v>
      </c>
    </row>
    <row r="380">
      <c r="A380" s="54" t="b">
        <v>1</v>
      </c>
      <c r="B380" s="54" t="s">
        <v>639</v>
      </c>
      <c r="C380" s="54" t="s">
        <v>640</v>
      </c>
      <c r="D380" s="54" t="s">
        <v>1039</v>
      </c>
    </row>
    <row r="381">
      <c r="A381" s="54" t="b">
        <v>0</v>
      </c>
      <c r="B381" s="54" t="s">
        <v>641</v>
      </c>
      <c r="C381" s="54" t="s">
        <v>642</v>
      </c>
      <c r="D381" s="54" t="s">
        <v>1053</v>
      </c>
    </row>
    <row r="382">
      <c r="A382" s="54" t="b">
        <v>0</v>
      </c>
      <c r="B382" s="54" t="s">
        <v>643</v>
      </c>
      <c r="C382" s="54" t="s">
        <v>544</v>
      </c>
      <c r="D382" s="54" t="s">
        <v>1041</v>
      </c>
    </row>
    <row r="383">
      <c r="A383" s="54" t="b">
        <v>0</v>
      </c>
      <c r="B383" s="54" t="s">
        <v>644</v>
      </c>
      <c r="C383" s="54" t="s">
        <v>433</v>
      </c>
      <c r="D383" s="54" t="s">
        <v>1047</v>
      </c>
    </row>
    <row r="384">
      <c r="A384" s="54" t="b">
        <v>0</v>
      </c>
      <c r="B384" s="54" t="s">
        <v>645</v>
      </c>
      <c r="C384" s="54" t="s">
        <v>53</v>
      </c>
      <c r="D384" s="54" t="s">
        <v>1039</v>
      </c>
    </row>
    <row r="385">
      <c r="A385" s="54" t="b">
        <v>1</v>
      </c>
      <c r="B385" s="54" t="s">
        <v>646</v>
      </c>
      <c r="C385" s="54" t="s">
        <v>647</v>
      </c>
      <c r="D385" s="54" t="s">
        <v>1065</v>
      </c>
    </row>
    <row r="386">
      <c r="A386" s="54" t="b">
        <v>0</v>
      </c>
      <c r="B386" s="54" t="s">
        <v>648</v>
      </c>
      <c r="C386" s="54" t="s">
        <v>649</v>
      </c>
      <c r="D386" s="54" t="s">
        <v>1064</v>
      </c>
    </row>
    <row r="387">
      <c r="A387" s="54" t="b">
        <v>0</v>
      </c>
      <c r="B387" s="54" t="s">
        <v>650</v>
      </c>
      <c r="C387" s="54" t="s">
        <v>518</v>
      </c>
      <c r="D387" s="54" t="s">
        <v>1044</v>
      </c>
    </row>
    <row r="388">
      <c r="A388" s="54" t="b">
        <v>0</v>
      </c>
      <c r="B388" s="54" t="s">
        <v>651</v>
      </c>
      <c r="C388" s="54" t="s">
        <v>652</v>
      </c>
      <c r="D388" s="54" t="s">
        <v>1039</v>
      </c>
    </row>
    <row r="389">
      <c r="A389" s="54" t="b">
        <v>0</v>
      </c>
      <c r="B389" s="54" t="s">
        <v>653</v>
      </c>
      <c r="C389" s="54" t="s">
        <v>654</v>
      </c>
      <c r="D389" s="54" t="s">
        <v>1052</v>
      </c>
    </row>
    <row r="390">
      <c r="A390" s="54" t="b">
        <v>0</v>
      </c>
      <c r="B390" s="54" t="s">
        <v>655</v>
      </c>
      <c r="C390" s="54" t="s">
        <v>656</v>
      </c>
      <c r="D390" s="54" t="s">
        <v>1038</v>
      </c>
    </row>
    <row r="391">
      <c r="A391" s="54" t="b">
        <v>0</v>
      </c>
      <c r="B391" s="54" t="s">
        <v>657</v>
      </c>
      <c r="C391" s="54" t="s">
        <v>658</v>
      </c>
      <c r="D391" s="54" t="s">
        <v>1045</v>
      </c>
    </row>
    <row r="392">
      <c r="A392" s="54" t="b">
        <v>0</v>
      </c>
      <c r="B392" s="54" t="s">
        <v>659</v>
      </c>
      <c r="C392" s="54" t="s">
        <v>66</v>
      </c>
      <c r="D392" s="54" t="s">
        <v>1041</v>
      </c>
    </row>
    <row r="393">
      <c r="A393" s="54" t="b">
        <v>0</v>
      </c>
      <c r="B393" s="54" t="s">
        <v>660</v>
      </c>
      <c r="C393" s="54" t="s">
        <v>661</v>
      </c>
      <c r="D393" s="54" t="s">
        <v>1060</v>
      </c>
    </row>
    <row r="394">
      <c r="A394" s="54" t="b">
        <v>0</v>
      </c>
      <c r="B394" s="54" t="s">
        <v>662</v>
      </c>
      <c r="C394" s="54" t="s">
        <v>24</v>
      </c>
    </row>
    <row r="395">
      <c r="A395" s="54" t="b">
        <v>0</v>
      </c>
      <c r="B395" s="54" t="s">
        <v>663</v>
      </c>
      <c r="C395" s="54" t="s">
        <v>131</v>
      </c>
      <c r="D395" s="54" t="s">
        <v>1055</v>
      </c>
    </row>
    <row r="396">
      <c r="A396" s="54" t="b">
        <v>0</v>
      </c>
      <c r="B396" s="54" t="s">
        <v>664</v>
      </c>
      <c r="C396" s="54" t="s">
        <v>665</v>
      </c>
      <c r="D396" s="54" t="s">
        <v>1039</v>
      </c>
    </row>
    <row r="397">
      <c r="A397" s="54" t="b">
        <v>0</v>
      </c>
      <c r="B397" s="54" t="s">
        <v>666</v>
      </c>
      <c r="C397" s="54" t="s">
        <v>57</v>
      </c>
      <c r="D397" s="54" t="s">
        <v>1038</v>
      </c>
    </row>
    <row r="398">
      <c r="A398" s="54" t="b">
        <v>0</v>
      </c>
      <c r="B398" s="54" t="s">
        <v>667</v>
      </c>
      <c r="C398" s="54" t="s">
        <v>668</v>
      </c>
      <c r="D398" s="54" t="s">
        <v>1052</v>
      </c>
    </row>
    <row r="399">
      <c r="A399" s="54" t="b">
        <v>0</v>
      </c>
      <c r="B399" s="54" t="s">
        <v>669</v>
      </c>
      <c r="C399" s="54" t="s">
        <v>670</v>
      </c>
      <c r="D399" s="54" t="s">
        <v>1053</v>
      </c>
    </row>
    <row r="400">
      <c r="A400" s="54" t="b">
        <v>0</v>
      </c>
      <c r="B400" s="54" t="s">
        <v>671</v>
      </c>
      <c r="C400" s="54" t="s">
        <v>433</v>
      </c>
      <c r="D400" s="54" t="s">
        <v>1041</v>
      </c>
    </row>
    <row r="401">
      <c r="A401" s="54" t="b">
        <v>0</v>
      </c>
      <c r="B401" s="54" t="s">
        <v>672</v>
      </c>
      <c r="C401" s="54" t="s">
        <v>24</v>
      </c>
      <c r="D401" s="54" t="s">
        <v>1039</v>
      </c>
    </row>
    <row r="402">
      <c r="A402" s="54" t="b">
        <v>0</v>
      </c>
      <c r="B402" s="54" t="s">
        <v>673</v>
      </c>
      <c r="C402" s="54" t="s">
        <v>674</v>
      </c>
      <c r="D402" s="54" t="s">
        <v>1063</v>
      </c>
    </row>
    <row r="403">
      <c r="A403" s="54" t="b">
        <v>0</v>
      </c>
      <c r="B403" s="54" t="s">
        <v>675</v>
      </c>
      <c r="C403" s="54" t="s">
        <v>212</v>
      </c>
      <c r="D403" s="54" t="s">
        <v>1055</v>
      </c>
    </row>
    <row r="404">
      <c r="A404" s="54" t="b">
        <v>0</v>
      </c>
      <c r="B404" s="54" t="s">
        <v>676</v>
      </c>
      <c r="C404" s="54" t="s">
        <v>614</v>
      </c>
      <c r="D404" s="54" t="s">
        <v>1048</v>
      </c>
    </row>
    <row r="405">
      <c r="A405" s="54" t="b">
        <v>0</v>
      </c>
      <c r="B405" s="54" t="s">
        <v>677</v>
      </c>
      <c r="C405" s="54" t="s">
        <v>473</v>
      </c>
      <c r="D405" s="54" t="s">
        <v>1046</v>
      </c>
    </row>
    <row r="406">
      <c r="A406" s="54" t="b">
        <v>0</v>
      </c>
      <c r="B406" s="54" t="s">
        <v>678</v>
      </c>
      <c r="C406" s="54" t="s">
        <v>565</v>
      </c>
      <c r="D406" s="54" t="s">
        <v>1067</v>
      </c>
    </row>
    <row r="407">
      <c r="A407" s="54" t="b">
        <v>0</v>
      </c>
      <c r="B407" s="54" t="s">
        <v>679</v>
      </c>
      <c r="C407" s="54" t="s">
        <v>131</v>
      </c>
      <c r="D407" s="54" t="s">
        <v>1057</v>
      </c>
    </row>
    <row r="408">
      <c r="A408" s="54" t="b">
        <v>0</v>
      </c>
      <c r="B408" s="54" t="s">
        <v>680</v>
      </c>
      <c r="C408" s="54" t="s">
        <v>83</v>
      </c>
      <c r="D408" s="54" t="s">
        <v>1042</v>
      </c>
    </row>
    <row r="409">
      <c r="A409" s="54" t="b">
        <v>0</v>
      </c>
      <c r="B409" s="54" t="s">
        <v>681</v>
      </c>
      <c r="C409" s="54" t="s">
        <v>682</v>
      </c>
      <c r="D409" s="54" t="s">
        <v>1042</v>
      </c>
    </row>
    <row r="410">
      <c r="A410" s="54" t="b">
        <v>1</v>
      </c>
      <c r="B410" s="54" t="s">
        <v>683</v>
      </c>
      <c r="C410" s="54" t="s">
        <v>684</v>
      </c>
      <c r="D410" s="54" t="s">
        <v>1041</v>
      </c>
    </row>
    <row r="411">
      <c r="A411" s="54" t="b">
        <v>0</v>
      </c>
      <c r="B411" s="54" t="s">
        <v>685</v>
      </c>
      <c r="C411" s="54" t="s">
        <v>319</v>
      </c>
      <c r="D411" s="54" t="s">
        <v>1055</v>
      </c>
    </row>
    <row r="412">
      <c r="A412" s="54" t="b">
        <v>0</v>
      </c>
      <c r="B412" s="54" t="s">
        <v>686</v>
      </c>
      <c r="C412" s="54" t="s">
        <v>66</v>
      </c>
      <c r="D412" s="54" t="s">
        <v>1065</v>
      </c>
    </row>
    <row r="413">
      <c r="A413" s="54" t="b">
        <v>0</v>
      </c>
      <c r="B413" s="54" t="s">
        <v>687</v>
      </c>
      <c r="C413" s="54" t="s">
        <v>259</v>
      </c>
      <c r="D413" s="54" t="s">
        <v>1062</v>
      </c>
    </row>
    <row r="414">
      <c r="A414" s="54" t="b">
        <v>0</v>
      </c>
      <c r="B414" s="54" t="s">
        <v>688</v>
      </c>
      <c r="C414" s="54" t="s">
        <v>131</v>
      </c>
      <c r="D414" s="54" t="s">
        <v>1066</v>
      </c>
    </row>
    <row r="415">
      <c r="A415" s="54" t="b">
        <v>0</v>
      </c>
      <c r="B415" s="54" t="s">
        <v>689</v>
      </c>
      <c r="C415" s="54" t="s">
        <v>100</v>
      </c>
      <c r="D415" s="54" t="s">
        <v>1039</v>
      </c>
    </row>
    <row r="416">
      <c r="A416" s="54" t="b">
        <v>1</v>
      </c>
      <c r="B416" s="54" t="s">
        <v>690</v>
      </c>
      <c r="C416" s="54" t="s">
        <v>691</v>
      </c>
      <c r="D416" s="54" t="s">
        <v>1041</v>
      </c>
    </row>
    <row r="417">
      <c r="A417" s="54" t="b">
        <v>0</v>
      </c>
      <c r="B417" s="54" t="s">
        <v>692</v>
      </c>
      <c r="C417" s="54" t="s">
        <v>433</v>
      </c>
      <c r="D417" s="54" t="s">
        <v>1039</v>
      </c>
    </row>
    <row r="418">
      <c r="A418" s="54" t="b">
        <v>0</v>
      </c>
      <c r="B418" s="54" t="s">
        <v>693</v>
      </c>
      <c r="C418" s="54" t="s">
        <v>694</v>
      </c>
      <c r="D418" s="54" t="s">
        <v>1039</v>
      </c>
    </row>
    <row r="419">
      <c r="A419" s="54" t="b">
        <v>0</v>
      </c>
      <c r="B419" s="54" t="s">
        <v>695</v>
      </c>
      <c r="C419" s="54" t="s">
        <v>696</v>
      </c>
      <c r="D419" s="54" t="s">
        <v>1041</v>
      </c>
    </row>
    <row r="420">
      <c r="A420" s="54" t="b">
        <v>0</v>
      </c>
      <c r="B420" s="54" t="s">
        <v>697</v>
      </c>
      <c r="C420" s="54" t="s">
        <v>100</v>
      </c>
      <c r="D420" s="54" t="s">
        <v>1041</v>
      </c>
    </row>
    <row r="421">
      <c r="A421" s="54" t="b">
        <v>0</v>
      </c>
      <c r="B421" s="54" t="s">
        <v>698</v>
      </c>
      <c r="C421" s="54" t="s">
        <v>424</v>
      </c>
      <c r="D421" s="54" t="s">
        <v>1064</v>
      </c>
    </row>
    <row r="422">
      <c r="A422" s="54" t="b">
        <v>0</v>
      </c>
      <c r="B422" s="54" t="s">
        <v>699</v>
      </c>
      <c r="C422" s="54" t="s">
        <v>473</v>
      </c>
      <c r="D422" s="54" t="s">
        <v>1039</v>
      </c>
    </row>
    <row r="423">
      <c r="A423" s="54" t="b">
        <v>0</v>
      </c>
      <c r="B423" s="54" t="s">
        <v>700</v>
      </c>
      <c r="C423" s="54" t="s">
        <v>701</v>
      </c>
      <c r="D423" s="54" t="s">
        <v>1042</v>
      </c>
    </row>
    <row r="424">
      <c r="A424" s="54" t="b">
        <v>0</v>
      </c>
      <c r="B424" s="54" t="s">
        <v>702</v>
      </c>
      <c r="C424" s="54" t="s">
        <v>141</v>
      </c>
      <c r="D424" s="54" t="s">
        <v>1039</v>
      </c>
    </row>
    <row r="425">
      <c r="A425" s="54" t="b">
        <v>0</v>
      </c>
      <c r="B425" s="54" t="s">
        <v>703</v>
      </c>
      <c r="C425" s="54" t="s">
        <v>66</v>
      </c>
      <c r="D425" s="54" t="s">
        <v>1049</v>
      </c>
    </row>
    <row r="426">
      <c r="A426" s="54" t="b">
        <v>0</v>
      </c>
      <c r="B426" s="54" t="s">
        <v>704</v>
      </c>
      <c r="C426" s="54" t="s">
        <v>367</v>
      </c>
      <c r="D426" s="54" t="s">
        <v>1045</v>
      </c>
    </row>
    <row r="427">
      <c r="A427" s="54" t="b">
        <v>0</v>
      </c>
      <c r="B427" s="54" t="s">
        <v>705</v>
      </c>
      <c r="C427" s="54" t="s">
        <v>706</v>
      </c>
      <c r="D427" s="54" t="s">
        <v>1053</v>
      </c>
    </row>
    <row r="428">
      <c r="A428" s="54" t="b">
        <v>0</v>
      </c>
      <c r="B428" s="54" t="s">
        <v>707</v>
      </c>
      <c r="C428" s="54" t="s">
        <v>708</v>
      </c>
      <c r="D428" s="54" t="s">
        <v>1041</v>
      </c>
    </row>
    <row r="429">
      <c r="A429" s="54" t="b">
        <v>0</v>
      </c>
      <c r="B429" s="54" t="s">
        <v>709</v>
      </c>
      <c r="C429" s="54" t="s">
        <v>259</v>
      </c>
      <c r="D429" s="54" t="s">
        <v>1046</v>
      </c>
    </row>
    <row r="430">
      <c r="A430" s="54" t="b">
        <v>0</v>
      </c>
      <c r="B430" s="54" t="s">
        <v>710</v>
      </c>
      <c r="C430" s="54" t="s">
        <v>711</v>
      </c>
      <c r="D430" s="54" t="s">
        <v>1038</v>
      </c>
    </row>
    <row r="431">
      <c r="A431" s="54" t="b">
        <v>0</v>
      </c>
      <c r="B431" s="54" t="s">
        <v>712</v>
      </c>
      <c r="C431" s="54" t="s">
        <v>713</v>
      </c>
      <c r="D431" s="54" t="s">
        <v>1046</v>
      </c>
    </row>
    <row r="432">
      <c r="A432" s="54" t="b">
        <v>0</v>
      </c>
      <c r="B432" s="54" t="s">
        <v>714</v>
      </c>
      <c r="C432" s="54" t="s">
        <v>131</v>
      </c>
      <c r="D432" s="54" t="s">
        <v>1066</v>
      </c>
    </row>
    <row r="433">
      <c r="A433" s="54" t="b">
        <v>0</v>
      </c>
      <c r="B433" s="54" t="s">
        <v>715</v>
      </c>
      <c r="C433" s="54" t="s">
        <v>716</v>
      </c>
      <c r="D433" s="54" t="s">
        <v>1063</v>
      </c>
    </row>
    <row r="434">
      <c r="A434" s="54" t="b">
        <v>0</v>
      </c>
      <c r="B434" s="54" t="s">
        <v>717</v>
      </c>
      <c r="C434" s="54" t="s">
        <v>73</v>
      </c>
      <c r="D434" s="54" t="s">
        <v>1053</v>
      </c>
    </row>
    <row r="435">
      <c r="A435" s="54" t="b">
        <v>0</v>
      </c>
      <c r="B435" s="54" t="s">
        <v>718</v>
      </c>
      <c r="C435" s="54" t="s">
        <v>310</v>
      </c>
    </row>
    <row r="436">
      <c r="A436" s="54" t="b">
        <v>0</v>
      </c>
      <c r="B436" s="54" t="s">
        <v>719</v>
      </c>
      <c r="C436" s="54" t="s">
        <v>131</v>
      </c>
      <c r="D436" s="54" t="s">
        <v>1038</v>
      </c>
    </row>
    <row r="437">
      <c r="A437" s="54" t="b">
        <v>0</v>
      </c>
      <c r="B437" s="54" t="s">
        <v>720</v>
      </c>
      <c r="C437" s="54" t="s">
        <v>323</v>
      </c>
      <c r="D437" s="54" t="s">
        <v>1044</v>
      </c>
    </row>
    <row r="438">
      <c r="A438" s="54" t="b">
        <v>0</v>
      </c>
      <c r="B438" s="54" t="s">
        <v>721</v>
      </c>
      <c r="C438" s="54" t="s">
        <v>433</v>
      </c>
      <c r="D438" s="54" t="s">
        <v>1062</v>
      </c>
    </row>
    <row r="439">
      <c r="A439" s="54" t="b">
        <v>0</v>
      </c>
      <c r="B439" s="54" t="s">
        <v>722</v>
      </c>
      <c r="C439" s="54" t="s">
        <v>723</v>
      </c>
    </row>
    <row r="440">
      <c r="A440" s="54" t="b">
        <v>0</v>
      </c>
      <c r="B440" s="54" t="s">
        <v>724</v>
      </c>
      <c r="C440" s="54" t="s">
        <v>301</v>
      </c>
      <c r="D440" s="54" t="s">
        <v>1068</v>
      </c>
    </row>
    <row r="441">
      <c r="A441" s="54" t="b">
        <v>0</v>
      </c>
      <c r="B441" s="54" t="s">
        <v>725</v>
      </c>
      <c r="C441" s="54" t="s">
        <v>341</v>
      </c>
      <c r="D441" s="54" t="s">
        <v>1060</v>
      </c>
    </row>
    <row r="442">
      <c r="A442" s="54" t="b">
        <v>1</v>
      </c>
      <c r="B442" s="54" t="s">
        <v>726</v>
      </c>
      <c r="C442" s="54" t="s">
        <v>66</v>
      </c>
      <c r="D442" s="54" t="s">
        <v>1041</v>
      </c>
    </row>
    <row r="443">
      <c r="A443" s="54" t="b">
        <v>0</v>
      </c>
      <c r="B443" s="54" t="s">
        <v>727</v>
      </c>
      <c r="C443" s="54" t="s">
        <v>215</v>
      </c>
      <c r="D443" s="54" t="s">
        <v>1060</v>
      </c>
    </row>
    <row r="444">
      <c r="A444" s="54" t="b">
        <v>0</v>
      </c>
      <c r="B444" s="54" t="s">
        <v>728</v>
      </c>
      <c r="C444" s="54" t="s">
        <v>155</v>
      </c>
      <c r="D444" s="54" t="s">
        <v>1044</v>
      </c>
    </row>
    <row r="445">
      <c r="A445" s="54" t="b">
        <v>0</v>
      </c>
      <c r="B445" s="54" t="s">
        <v>729</v>
      </c>
      <c r="C445" s="54" t="s">
        <v>473</v>
      </c>
      <c r="D445" s="54" t="s">
        <v>1038</v>
      </c>
    </row>
    <row r="446">
      <c r="A446" s="54" t="b">
        <v>0</v>
      </c>
      <c r="B446" s="54" t="s">
        <v>730</v>
      </c>
      <c r="C446" s="54" t="s">
        <v>731</v>
      </c>
      <c r="D446" s="54" t="s">
        <v>1053</v>
      </c>
    </row>
    <row r="447">
      <c r="A447" s="54" t="b">
        <v>0</v>
      </c>
      <c r="B447" s="54" t="s">
        <v>732</v>
      </c>
      <c r="C447" s="54" t="s">
        <v>733</v>
      </c>
      <c r="D447" s="54" t="s">
        <v>1039</v>
      </c>
    </row>
    <row r="448">
      <c r="A448" s="54" t="b">
        <v>0</v>
      </c>
      <c r="B448" s="54" t="s">
        <v>734</v>
      </c>
      <c r="C448" s="54" t="s">
        <v>24</v>
      </c>
      <c r="D448" s="54" t="s">
        <v>1044</v>
      </c>
    </row>
    <row r="449">
      <c r="A449" s="54" t="b">
        <v>0</v>
      </c>
      <c r="B449" s="54" t="s">
        <v>735</v>
      </c>
      <c r="C449" s="54" t="s">
        <v>433</v>
      </c>
      <c r="D449" s="54" t="s">
        <v>1052</v>
      </c>
    </row>
    <row r="450">
      <c r="A450" s="54" t="b">
        <v>0</v>
      </c>
      <c r="B450" s="54" t="s">
        <v>736</v>
      </c>
      <c r="C450" s="54" t="s">
        <v>269</v>
      </c>
      <c r="D450" s="54" t="s">
        <v>1042</v>
      </c>
    </row>
    <row r="451">
      <c r="A451" s="54" t="b">
        <v>0</v>
      </c>
      <c r="B451" s="54" t="s">
        <v>737</v>
      </c>
      <c r="C451" s="54" t="s">
        <v>155</v>
      </c>
      <c r="D451" s="54" t="s">
        <v>1041</v>
      </c>
    </row>
    <row r="452">
      <c r="A452" s="54" t="b">
        <v>0</v>
      </c>
      <c r="B452" s="54" t="s">
        <v>738</v>
      </c>
      <c r="C452" s="54" t="s">
        <v>134</v>
      </c>
      <c r="D452" s="54" t="s">
        <v>1039</v>
      </c>
    </row>
    <row r="453">
      <c r="A453" s="54" t="b">
        <v>0</v>
      </c>
      <c r="B453" s="54" t="s">
        <v>738</v>
      </c>
      <c r="C453" s="54" t="s">
        <v>134</v>
      </c>
      <c r="D453" s="54" t="s">
        <v>1039</v>
      </c>
    </row>
    <row r="454">
      <c r="A454" s="54" t="b">
        <v>0</v>
      </c>
      <c r="B454" s="54" t="s">
        <v>739</v>
      </c>
      <c r="C454" s="54" t="s">
        <v>740</v>
      </c>
      <c r="D454" s="54" t="s">
        <v>1050</v>
      </c>
    </row>
    <row r="455">
      <c r="A455" s="54" t="b">
        <v>0</v>
      </c>
      <c r="B455" s="54" t="s">
        <v>741</v>
      </c>
      <c r="C455" s="54" t="s">
        <v>24</v>
      </c>
      <c r="D455" s="54" t="s">
        <v>1044</v>
      </c>
    </row>
    <row r="456">
      <c r="A456" s="54" t="b">
        <v>0</v>
      </c>
      <c r="B456" s="54" t="s">
        <v>742</v>
      </c>
      <c r="C456" s="54" t="s">
        <v>280</v>
      </c>
      <c r="D456" s="54" t="s">
        <v>1058</v>
      </c>
    </row>
    <row r="457">
      <c r="A457" s="54" t="b">
        <v>0</v>
      </c>
      <c r="B457" s="54" t="s">
        <v>743</v>
      </c>
      <c r="C457" s="54" t="s">
        <v>131</v>
      </c>
      <c r="D457" s="54" t="s">
        <v>1039</v>
      </c>
    </row>
    <row r="458">
      <c r="A458" s="54" t="b">
        <v>0</v>
      </c>
      <c r="B458" s="54" t="s">
        <v>744</v>
      </c>
      <c r="C458" s="54" t="s">
        <v>317</v>
      </c>
      <c r="D458" s="54" t="s">
        <v>1039</v>
      </c>
    </row>
    <row r="459">
      <c r="A459" s="54" t="b">
        <v>0</v>
      </c>
      <c r="B459" s="54" t="s">
        <v>745</v>
      </c>
      <c r="C459" s="54" t="s">
        <v>746</v>
      </c>
      <c r="D459" s="54" t="s">
        <v>1038</v>
      </c>
    </row>
    <row r="460">
      <c r="A460" s="54" t="b">
        <v>0</v>
      </c>
      <c r="B460" s="54" t="s">
        <v>747</v>
      </c>
      <c r="C460" s="54" t="s">
        <v>83</v>
      </c>
      <c r="D460" s="54" t="s">
        <v>1042</v>
      </c>
    </row>
    <row r="461">
      <c r="A461" s="54" t="b">
        <v>0</v>
      </c>
      <c r="B461" s="54" t="s">
        <v>748</v>
      </c>
      <c r="C461" s="54" t="s">
        <v>399</v>
      </c>
      <c r="D461" s="54" t="s">
        <v>1039</v>
      </c>
    </row>
    <row r="462">
      <c r="A462" s="54" t="b">
        <v>0</v>
      </c>
      <c r="B462" s="54" t="s">
        <v>749</v>
      </c>
      <c r="C462" s="54" t="s">
        <v>83</v>
      </c>
      <c r="D462" s="54" t="s">
        <v>1039</v>
      </c>
    </row>
    <row r="463">
      <c r="A463" s="54" t="b">
        <v>0</v>
      </c>
      <c r="B463" s="54" t="s">
        <v>750</v>
      </c>
      <c r="C463" s="54" t="s">
        <v>146</v>
      </c>
      <c r="D463" s="54" t="s">
        <v>1044</v>
      </c>
    </row>
    <row r="464">
      <c r="A464" s="54" t="b">
        <v>0</v>
      </c>
      <c r="B464" s="54" t="s">
        <v>751</v>
      </c>
      <c r="C464" s="54" t="s">
        <v>752</v>
      </c>
      <c r="D464" s="54" t="s">
        <v>1054</v>
      </c>
    </row>
    <row r="465">
      <c r="A465" s="54" t="b">
        <v>0</v>
      </c>
      <c r="B465" s="54" t="s">
        <v>753</v>
      </c>
      <c r="C465" s="54" t="s">
        <v>236</v>
      </c>
      <c r="D465" s="54" t="s">
        <v>1066</v>
      </c>
    </row>
    <row r="466">
      <c r="A466" s="54" t="b">
        <v>0</v>
      </c>
      <c r="B466" s="54" t="s">
        <v>754</v>
      </c>
      <c r="C466" s="54" t="s">
        <v>755</v>
      </c>
      <c r="D466" s="54" t="s">
        <v>1061</v>
      </c>
    </row>
    <row r="467">
      <c r="A467" s="54" t="b">
        <v>0</v>
      </c>
      <c r="B467" s="54" t="s">
        <v>756</v>
      </c>
      <c r="C467" s="54" t="s">
        <v>757</v>
      </c>
      <c r="D467" s="54" t="s">
        <v>1038</v>
      </c>
    </row>
    <row r="468">
      <c r="A468" s="54" t="b">
        <v>0</v>
      </c>
      <c r="B468" s="54" t="s">
        <v>758</v>
      </c>
      <c r="C468" s="54" t="s">
        <v>155</v>
      </c>
      <c r="D468" s="54" t="s">
        <v>1039</v>
      </c>
    </row>
    <row r="469">
      <c r="A469" s="54" t="b">
        <v>0</v>
      </c>
      <c r="B469" s="54" t="s">
        <v>759</v>
      </c>
      <c r="C469" s="54" t="s">
        <v>510</v>
      </c>
      <c r="D469" s="54" t="s">
        <v>1056</v>
      </c>
    </row>
    <row r="470">
      <c r="A470" s="54" t="b">
        <v>0</v>
      </c>
      <c r="B470" s="54" t="s">
        <v>760</v>
      </c>
      <c r="C470" s="54" t="s">
        <v>24</v>
      </c>
      <c r="D470" s="54" t="s">
        <v>1068</v>
      </c>
    </row>
    <row r="471">
      <c r="A471" s="54" t="b">
        <v>0</v>
      </c>
      <c r="B471" s="54" t="s">
        <v>761</v>
      </c>
      <c r="C471" s="54" t="s">
        <v>762</v>
      </c>
      <c r="D471" s="54" t="s">
        <v>1042</v>
      </c>
    </row>
    <row r="472">
      <c r="A472" s="54" t="b">
        <v>0</v>
      </c>
      <c r="B472" s="54" t="s">
        <v>763</v>
      </c>
      <c r="C472" s="54" t="s">
        <v>764</v>
      </c>
      <c r="D472" s="54" t="s">
        <v>1055</v>
      </c>
    </row>
    <row r="473">
      <c r="A473" s="54" t="b">
        <v>0</v>
      </c>
      <c r="B473" s="54" t="s">
        <v>765</v>
      </c>
      <c r="C473" s="54" t="s">
        <v>766</v>
      </c>
      <c r="D473" s="54" t="s">
        <v>1052</v>
      </c>
    </row>
    <row r="474">
      <c r="A474" s="54" t="b">
        <v>0</v>
      </c>
      <c r="B474" s="54" t="s">
        <v>767</v>
      </c>
      <c r="C474" s="54" t="s">
        <v>665</v>
      </c>
      <c r="D474" s="54" t="s">
        <v>1041</v>
      </c>
    </row>
    <row r="475">
      <c r="A475" s="54" t="b">
        <v>0</v>
      </c>
      <c r="B475" s="54" t="s">
        <v>768</v>
      </c>
      <c r="C475" s="54" t="s">
        <v>178</v>
      </c>
      <c r="D475" s="54" t="s">
        <v>1068</v>
      </c>
    </row>
    <row r="476">
      <c r="A476" s="54" t="b">
        <v>0</v>
      </c>
      <c r="B476" s="54" t="s">
        <v>769</v>
      </c>
      <c r="C476" s="54" t="s">
        <v>770</v>
      </c>
      <c r="D476" s="54" t="s">
        <v>1041</v>
      </c>
    </row>
    <row r="477">
      <c r="A477" s="54" t="b">
        <v>0</v>
      </c>
      <c r="B477" s="54" t="s">
        <v>771</v>
      </c>
      <c r="C477" s="54" t="s">
        <v>443</v>
      </c>
      <c r="D477" s="54" t="s">
        <v>1041</v>
      </c>
    </row>
    <row r="478">
      <c r="A478" s="54" t="b">
        <v>0</v>
      </c>
      <c r="B478" s="54" t="s">
        <v>772</v>
      </c>
      <c r="C478" s="54" t="s">
        <v>773</v>
      </c>
      <c r="D478" s="54" t="s">
        <v>1042</v>
      </c>
    </row>
    <row r="479">
      <c r="A479" s="54" t="b">
        <v>0</v>
      </c>
      <c r="B479" s="54" t="s">
        <v>774</v>
      </c>
      <c r="C479" s="54" t="s">
        <v>24</v>
      </c>
      <c r="D479" s="54" t="s">
        <v>1039</v>
      </c>
    </row>
    <row r="480">
      <c r="A480" s="54" t="b">
        <v>0</v>
      </c>
      <c r="B480" s="54" t="s">
        <v>775</v>
      </c>
      <c r="C480" s="54" t="s">
        <v>131</v>
      </c>
      <c r="D480" s="54" t="s">
        <v>1048</v>
      </c>
    </row>
    <row r="481">
      <c r="A481" s="54" t="b">
        <v>0</v>
      </c>
      <c r="B481" s="54" t="s">
        <v>776</v>
      </c>
      <c r="C481" s="54" t="s">
        <v>319</v>
      </c>
      <c r="D481" s="54" t="s">
        <v>1039</v>
      </c>
    </row>
    <row r="482">
      <c r="A482" s="54" t="b">
        <v>0</v>
      </c>
      <c r="B482" s="54" t="s">
        <v>777</v>
      </c>
      <c r="C482" s="54" t="s">
        <v>57</v>
      </c>
      <c r="D482" s="54" t="s">
        <v>1041</v>
      </c>
    </row>
    <row r="483">
      <c r="A483" s="54" t="b">
        <v>0</v>
      </c>
      <c r="B483" s="54" t="s">
        <v>778</v>
      </c>
      <c r="C483" s="54" t="s">
        <v>473</v>
      </c>
      <c r="D483" s="54" t="s">
        <v>1066</v>
      </c>
    </row>
    <row r="484">
      <c r="A484" s="54" t="b">
        <v>1</v>
      </c>
      <c r="B484" s="54" t="s">
        <v>779</v>
      </c>
      <c r="C484" s="54" t="s">
        <v>780</v>
      </c>
      <c r="D484" s="54" t="s">
        <v>1039</v>
      </c>
    </row>
    <row r="485">
      <c r="A485" s="54" t="b">
        <v>0</v>
      </c>
      <c r="B485" s="54" t="s">
        <v>781</v>
      </c>
      <c r="C485" s="54" t="s">
        <v>782</v>
      </c>
      <c r="D485" s="54" t="s">
        <v>1044</v>
      </c>
    </row>
    <row r="486">
      <c r="A486" s="54" t="b">
        <v>0</v>
      </c>
      <c r="B486" s="54" t="s">
        <v>783</v>
      </c>
      <c r="C486" s="54" t="s">
        <v>224</v>
      </c>
      <c r="D486" s="54" t="s">
        <v>1041</v>
      </c>
    </row>
    <row r="487">
      <c r="A487" s="54" t="b">
        <v>0</v>
      </c>
      <c r="B487" s="54" t="s">
        <v>784</v>
      </c>
      <c r="C487" s="54" t="s">
        <v>682</v>
      </c>
      <c r="D487" s="54" t="s">
        <v>1042</v>
      </c>
    </row>
    <row r="488">
      <c r="A488" s="54" t="b">
        <v>0</v>
      </c>
      <c r="B488" s="54" t="s">
        <v>785</v>
      </c>
      <c r="C488" s="54" t="s">
        <v>155</v>
      </c>
      <c r="D488" s="54" t="s">
        <v>1044</v>
      </c>
    </row>
    <row r="489">
      <c r="A489" s="54" t="b">
        <v>0</v>
      </c>
      <c r="B489" s="54" t="s">
        <v>786</v>
      </c>
      <c r="C489" s="54" t="s">
        <v>146</v>
      </c>
      <c r="D489" s="54" t="s">
        <v>1039</v>
      </c>
    </row>
    <row r="490">
      <c r="A490" s="54" t="b">
        <v>0</v>
      </c>
      <c r="B490" s="54" t="s">
        <v>787</v>
      </c>
      <c r="C490" s="54" t="s">
        <v>24</v>
      </c>
      <c r="D490" s="54" t="s">
        <v>1039</v>
      </c>
    </row>
    <row r="491">
      <c r="A491" s="54" t="b">
        <v>0</v>
      </c>
      <c r="B491" s="63" t="s">
        <v>788</v>
      </c>
      <c r="C491" s="54" t="s">
        <v>131</v>
      </c>
      <c r="D491" s="54" t="s">
        <v>1068</v>
      </c>
    </row>
    <row r="492">
      <c r="A492" s="54" t="b">
        <v>0</v>
      </c>
      <c r="B492" s="54" t="s">
        <v>789</v>
      </c>
      <c r="C492" s="54" t="s">
        <v>433</v>
      </c>
      <c r="D492" s="54" t="s">
        <v>1056</v>
      </c>
    </row>
    <row r="493">
      <c r="A493" s="54" t="b">
        <v>0</v>
      </c>
      <c r="B493" s="54" t="s">
        <v>790</v>
      </c>
      <c r="C493" s="54" t="s">
        <v>24</v>
      </c>
      <c r="D493" s="54" t="s">
        <v>1046</v>
      </c>
    </row>
    <row r="494">
      <c r="A494" s="54" t="b">
        <v>1</v>
      </c>
      <c r="B494" s="54" t="s">
        <v>791</v>
      </c>
      <c r="C494" s="54" t="s">
        <v>619</v>
      </c>
      <c r="D494" s="54" t="s">
        <v>1041</v>
      </c>
    </row>
    <row r="495">
      <c r="A495" s="54" t="b">
        <v>0</v>
      </c>
      <c r="B495" s="54" t="s">
        <v>792</v>
      </c>
      <c r="C495" s="54" t="s">
        <v>793</v>
      </c>
      <c r="D495" s="54" t="s">
        <v>1038</v>
      </c>
    </row>
    <row r="496">
      <c r="A496" s="54" t="b">
        <v>0</v>
      </c>
      <c r="B496" s="54" t="s">
        <v>794</v>
      </c>
      <c r="C496" s="54" t="s">
        <v>795</v>
      </c>
      <c r="D496" s="54" t="s">
        <v>1045</v>
      </c>
    </row>
    <row r="497">
      <c r="A497" s="54" t="b">
        <v>0</v>
      </c>
      <c r="B497" s="54" t="s">
        <v>796</v>
      </c>
      <c r="C497" s="54" t="s">
        <v>273</v>
      </c>
      <c r="D497" s="54" t="s">
        <v>1065</v>
      </c>
    </row>
    <row r="498">
      <c r="A498" s="54" t="b">
        <v>1</v>
      </c>
      <c r="B498" s="54" t="s">
        <v>797</v>
      </c>
      <c r="C498" s="54" t="s">
        <v>798</v>
      </c>
      <c r="D498" s="54" t="s">
        <v>1052</v>
      </c>
    </row>
    <row r="499">
      <c r="A499" s="54" t="b">
        <v>0</v>
      </c>
      <c r="B499" s="54" t="s">
        <v>799</v>
      </c>
      <c r="C499" s="54" t="s">
        <v>131</v>
      </c>
      <c r="D499" s="54" t="s">
        <v>1041</v>
      </c>
    </row>
    <row r="500">
      <c r="A500" s="54" t="b">
        <v>0</v>
      </c>
      <c r="B500" s="54" t="s">
        <v>800</v>
      </c>
      <c r="C500" s="54" t="s">
        <v>801</v>
      </c>
      <c r="D500" s="54" t="s">
        <v>1064</v>
      </c>
    </row>
    <row r="501">
      <c r="A501" s="54" t="b">
        <v>0</v>
      </c>
      <c r="B501" s="54" t="s">
        <v>802</v>
      </c>
      <c r="C501" s="54" t="s">
        <v>614</v>
      </c>
      <c r="D501" s="54" t="s">
        <v>1039</v>
      </c>
    </row>
    <row r="502">
      <c r="A502" s="54" t="b">
        <v>0</v>
      </c>
      <c r="B502" s="54" t="s">
        <v>803</v>
      </c>
      <c r="C502" s="54" t="s">
        <v>100</v>
      </c>
      <c r="D502" s="54" t="s">
        <v>1046</v>
      </c>
    </row>
    <row r="503">
      <c r="A503" s="54" t="b">
        <v>1</v>
      </c>
      <c r="B503" s="54" t="s">
        <v>804</v>
      </c>
      <c r="C503" s="54" t="s">
        <v>805</v>
      </c>
      <c r="D503" s="54" t="s">
        <v>1041</v>
      </c>
    </row>
    <row r="504">
      <c r="A504" s="54" t="b">
        <v>1</v>
      </c>
      <c r="B504" s="54" t="s">
        <v>806</v>
      </c>
      <c r="C504" s="54" t="s">
        <v>92</v>
      </c>
      <c r="D504" s="54" t="s">
        <v>1041</v>
      </c>
    </row>
    <row r="505">
      <c r="A505" s="54" t="b">
        <v>0</v>
      </c>
      <c r="B505" s="54" t="s">
        <v>807</v>
      </c>
      <c r="C505" s="54" t="s">
        <v>808</v>
      </c>
      <c r="D505" s="54" t="s">
        <v>1054</v>
      </c>
    </row>
    <row r="506">
      <c r="A506" s="54" t="b">
        <v>0</v>
      </c>
      <c r="B506" s="54" t="s">
        <v>809</v>
      </c>
      <c r="C506" s="54" t="s">
        <v>167</v>
      </c>
      <c r="D506" s="54" t="s">
        <v>1057</v>
      </c>
    </row>
    <row r="507">
      <c r="A507" s="54" t="b">
        <v>0</v>
      </c>
      <c r="B507" s="54" t="s">
        <v>810</v>
      </c>
      <c r="C507" s="54" t="s">
        <v>68</v>
      </c>
      <c r="D507" s="54" t="s">
        <v>1039</v>
      </c>
    </row>
    <row r="508">
      <c r="A508" s="54" t="b">
        <v>0</v>
      </c>
      <c r="B508" s="54" t="s">
        <v>811</v>
      </c>
      <c r="C508" s="54" t="s">
        <v>167</v>
      </c>
      <c r="D508" s="54" t="s">
        <v>1039</v>
      </c>
    </row>
    <row r="509">
      <c r="A509" s="54" t="b">
        <v>0</v>
      </c>
      <c r="B509" s="54" t="s">
        <v>812</v>
      </c>
      <c r="C509" s="54" t="s">
        <v>248</v>
      </c>
      <c r="D509" s="54" t="s">
        <v>1063</v>
      </c>
    </row>
    <row r="510">
      <c r="A510" s="54" t="b">
        <v>0</v>
      </c>
      <c r="B510" s="54" t="s">
        <v>813</v>
      </c>
      <c r="C510" s="54" t="s">
        <v>427</v>
      </c>
      <c r="D510" s="54" t="s">
        <v>1040</v>
      </c>
    </row>
    <row r="511">
      <c r="A511" s="54" t="b">
        <v>0</v>
      </c>
      <c r="B511" s="54" t="s">
        <v>814</v>
      </c>
      <c r="C511" s="54" t="s">
        <v>125</v>
      </c>
      <c r="D511" s="54" t="s">
        <v>1063</v>
      </c>
    </row>
    <row r="512">
      <c r="A512" s="54" t="b">
        <v>0</v>
      </c>
      <c r="B512" s="54" t="s">
        <v>815</v>
      </c>
      <c r="C512" s="54" t="s">
        <v>24</v>
      </c>
      <c r="D512" s="54" t="s">
        <v>1044</v>
      </c>
    </row>
    <row r="513">
      <c r="A513" s="54" t="b">
        <v>0</v>
      </c>
      <c r="B513" s="54" t="s">
        <v>817</v>
      </c>
      <c r="C513" s="54" t="s">
        <v>24</v>
      </c>
      <c r="D513" s="54" t="s">
        <v>1039</v>
      </c>
    </row>
    <row r="514">
      <c r="A514" s="54" t="b">
        <v>0</v>
      </c>
      <c r="B514" s="54" t="s">
        <v>818</v>
      </c>
      <c r="C514" s="54" t="s">
        <v>167</v>
      </c>
      <c r="D514" s="54" t="s">
        <v>1044</v>
      </c>
    </row>
    <row r="515">
      <c r="A515" s="54" t="b">
        <v>0</v>
      </c>
      <c r="B515" s="54" t="s">
        <v>819</v>
      </c>
      <c r="C515" s="54" t="s">
        <v>117</v>
      </c>
      <c r="D515" s="54" t="s">
        <v>1038</v>
      </c>
    </row>
    <row r="516">
      <c r="A516" s="54" t="b">
        <v>0</v>
      </c>
      <c r="B516" s="54" t="s">
        <v>819</v>
      </c>
      <c r="C516" s="54" t="s">
        <v>117</v>
      </c>
      <c r="D516" s="54" t="s">
        <v>1059</v>
      </c>
    </row>
    <row r="517">
      <c r="A517" s="54" t="b">
        <v>0</v>
      </c>
      <c r="B517" s="54" t="s">
        <v>820</v>
      </c>
      <c r="C517" s="54" t="s">
        <v>821</v>
      </c>
      <c r="D517" s="54" t="s">
        <v>1044</v>
      </c>
    </row>
    <row r="518">
      <c r="A518" s="54" t="b">
        <v>0</v>
      </c>
      <c r="B518" s="54" t="s">
        <v>822</v>
      </c>
      <c r="C518" s="54" t="s">
        <v>83</v>
      </c>
      <c r="D518" s="54" t="s">
        <v>1041</v>
      </c>
    </row>
    <row r="519">
      <c r="A519" s="54" t="b">
        <v>0</v>
      </c>
      <c r="B519" s="54" t="s">
        <v>823</v>
      </c>
      <c r="C519" s="54" t="s">
        <v>824</v>
      </c>
      <c r="D519" s="54" t="s">
        <v>1056</v>
      </c>
    </row>
    <row r="520">
      <c r="A520" s="54" t="b">
        <v>0</v>
      </c>
      <c r="B520" s="54" t="s">
        <v>825</v>
      </c>
      <c r="C520" s="54" t="s">
        <v>317</v>
      </c>
      <c r="D520" s="54" t="s">
        <v>1039</v>
      </c>
    </row>
    <row r="521">
      <c r="A521" s="54" t="b">
        <v>0</v>
      </c>
      <c r="B521" s="54" t="s">
        <v>826</v>
      </c>
      <c r="C521" s="54" t="s">
        <v>827</v>
      </c>
      <c r="D521" s="54" t="s">
        <v>1039</v>
      </c>
    </row>
    <row r="522">
      <c r="A522" s="54" t="b">
        <v>0</v>
      </c>
      <c r="B522" s="54" t="s">
        <v>828</v>
      </c>
      <c r="C522" s="54" t="s">
        <v>100</v>
      </c>
      <c r="D522" s="54" t="s">
        <v>1038</v>
      </c>
    </row>
    <row r="523">
      <c r="A523" s="54" t="b">
        <v>0</v>
      </c>
      <c r="B523" s="54" t="s">
        <v>829</v>
      </c>
      <c r="C523" s="54" t="s">
        <v>608</v>
      </c>
      <c r="D523" s="54" t="s">
        <v>1039</v>
      </c>
    </row>
    <row r="524">
      <c r="A524" s="54" t="b">
        <v>0</v>
      </c>
      <c r="B524" s="54" t="s">
        <v>830</v>
      </c>
      <c r="C524" s="54" t="s">
        <v>831</v>
      </c>
      <c r="D524" s="54" t="s">
        <v>1050</v>
      </c>
    </row>
    <row r="525">
      <c r="A525" s="54" t="b">
        <v>0</v>
      </c>
      <c r="B525" s="54" t="s">
        <v>832</v>
      </c>
      <c r="C525" s="54" t="s">
        <v>638</v>
      </c>
      <c r="D525" s="54" t="s">
        <v>1042</v>
      </c>
    </row>
    <row r="526">
      <c r="A526" s="54" t="b">
        <v>0</v>
      </c>
      <c r="B526" s="54" t="s">
        <v>833</v>
      </c>
      <c r="C526" s="54" t="s">
        <v>510</v>
      </c>
      <c r="D526" s="54" t="s">
        <v>1058</v>
      </c>
    </row>
    <row r="527">
      <c r="A527" s="54" t="b">
        <v>0</v>
      </c>
      <c r="B527" s="54" t="s">
        <v>834</v>
      </c>
      <c r="C527" s="54" t="s">
        <v>273</v>
      </c>
      <c r="D527" s="54" t="s">
        <v>1040</v>
      </c>
    </row>
    <row r="528">
      <c r="A528" s="54" t="b">
        <v>0</v>
      </c>
      <c r="B528" s="54" t="s">
        <v>835</v>
      </c>
      <c r="C528" s="54" t="s">
        <v>151</v>
      </c>
      <c r="D528" s="54" t="s">
        <v>1042</v>
      </c>
    </row>
    <row r="529">
      <c r="A529" s="54" t="b">
        <v>0</v>
      </c>
      <c r="B529" s="54" t="s">
        <v>836</v>
      </c>
      <c r="C529" s="54" t="s">
        <v>837</v>
      </c>
      <c r="D529" s="54" t="s">
        <v>1065</v>
      </c>
    </row>
    <row r="530">
      <c r="A530" s="54" t="b">
        <v>0</v>
      </c>
      <c r="B530" s="54" t="s">
        <v>838</v>
      </c>
      <c r="C530" s="54" t="s">
        <v>66</v>
      </c>
    </row>
    <row r="531">
      <c r="A531" s="54" t="b">
        <v>0</v>
      </c>
      <c r="B531" s="54" t="s">
        <v>839</v>
      </c>
      <c r="C531" s="54" t="s">
        <v>840</v>
      </c>
      <c r="D531" s="54" t="s">
        <v>1041</v>
      </c>
    </row>
    <row r="532">
      <c r="A532" s="54" t="b">
        <v>0</v>
      </c>
      <c r="B532" s="54" t="s">
        <v>841</v>
      </c>
      <c r="C532" s="54" t="s">
        <v>608</v>
      </c>
      <c r="D532" s="54" t="s">
        <v>1051</v>
      </c>
    </row>
    <row r="533">
      <c r="A533" s="54" t="b">
        <v>0</v>
      </c>
      <c r="B533" s="54" t="s">
        <v>842</v>
      </c>
      <c r="C533" s="54" t="s">
        <v>83</v>
      </c>
      <c r="D533" s="54" t="s">
        <v>1039</v>
      </c>
    </row>
    <row r="534">
      <c r="A534" s="54" t="b">
        <v>0</v>
      </c>
      <c r="B534" s="54" t="s">
        <v>843</v>
      </c>
      <c r="C534" s="54" t="s">
        <v>844</v>
      </c>
      <c r="D534" s="54" t="s">
        <v>1052</v>
      </c>
    </row>
    <row r="535">
      <c r="A535" s="54" t="b">
        <v>0</v>
      </c>
      <c r="B535" s="54" t="s">
        <v>845</v>
      </c>
      <c r="C535" s="54" t="s">
        <v>846</v>
      </c>
      <c r="D535" s="54" t="s">
        <v>1052</v>
      </c>
    </row>
    <row r="536">
      <c r="A536" s="54" t="b">
        <v>0</v>
      </c>
      <c r="B536" s="54" t="s">
        <v>847</v>
      </c>
      <c r="C536" s="54" t="s">
        <v>301</v>
      </c>
      <c r="D536" s="54" t="s">
        <v>1063</v>
      </c>
    </row>
    <row r="537">
      <c r="A537" s="54" t="b">
        <v>0</v>
      </c>
      <c r="B537" s="54" t="s">
        <v>848</v>
      </c>
      <c r="C537" s="54" t="s">
        <v>510</v>
      </c>
      <c r="D537" s="54" t="s">
        <v>1039</v>
      </c>
    </row>
    <row r="538">
      <c r="A538" s="54" t="b">
        <v>0</v>
      </c>
      <c r="B538" s="54" t="s">
        <v>849</v>
      </c>
      <c r="C538" s="54" t="s">
        <v>131</v>
      </c>
      <c r="D538" s="54" t="s">
        <v>1062</v>
      </c>
    </row>
    <row r="539">
      <c r="A539" s="54" t="b">
        <v>0</v>
      </c>
      <c r="B539" s="54" t="s">
        <v>850</v>
      </c>
      <c r="C539" s="54" t="s">
        <v>851</v>
      </c>
      <c r="D539" s="54" t="s">
        <v>1064</v>
      </c>
    </row>
    <row r="540">
      <c r="A540" s="54" t="b">
        <v>0</v>
      </c>
      <c r="B540" s="54" t="s">
        <v>852</v>
      </c>
      <c r="C540" s="54" t="s">
        <v>433</v>
      </c>
      <c r="D540" s="54" t="s">
        <v>1039</v>
      </c>
    </row>
    <row r="541">
      <c r="A541" s="54" t="b">
        <v>0</v>
      </c>
      <c r="B541" s="54" t="s">
        <v>853</v>
      </c>
      <c r="C541" s="54" t="s">
        <v>83</v>
      </c>
      <c r="D541" s="54" t="s">
        <v>1039</v>
      </c>
    </row>
    <row r="542">
      <c r="A542" s="54" t="b">
        <v>0</v>
      </c>
      <c r="B542" s="54" t="s">
        <v>854</v>
      </c>
      <c r="C542" s="54" t="s">
        <v>855</v>
      </c>
      <c r="D542" s="54" t="s">
        <v>1054</v>
      </c>
    </row>
    <row r="543">
      <c r="A543" s="54" t="b">
        <v>0</v>
      </c>
      <c r="B543" s="54" t="s">
        <v>856</v>
      </c>
      <c r="C543" s="54" t="s">
        <v>857</v>
      </c>
      <c r="D543" s="54" t="s">
        <v>1044</v>
      </c>
    </row>
    <row r="544">
      <c r="A544" s="54" t="b">
        <v>0</v>
      </c>
      <c r="B544" s="54" t="s">
        <v>858</v>
      </c>
      <c r="C544" s="54" t="s">
        <v>433</v>
      </c>
      <c r="D544" s="54" t="s">
        <v>1039</v>
      </c>
    </row>
    <row r="545">
      <c r="A545" s="54" t="b">
        <v>0</v>
      </c>
      <c r="B545" s="54" t="s">
        <v>859</v>
      </c>
      <c r="C545" s="54" t="s">
        <v>131</v>
      </c>
      <c r="D545" s="54" t="s">
        <v>1057</v>
      </c>
    </row>
    <row r="546">
      <c r="A546" s="54" t="b">
        <v>0</v>
      </c>
      <c r="B546" s="54" t="s">
        <v>860</v>
      </c>
      <c r="C546" s="54" t="s">
        <v>861</v>
      </c>
      <c r="D546" s="54" t="s">
        <v>1039</v>
      </c>
    </row>
    <row r="547">
      <c r="A547" s="54" t="b">
        <v>0</v>
      </c>
      <c r="B547" s="54" t="s">
        <v>862</v>
      </c>
      <c r="C547" s="54" t="s">
        <v>280</v>
      </c>
      <c r="D547" s="54" t="s">
        <v>1044</v>
      </c>
    </row>
    <row r="548">
      <c r="A548" s="54" t="b">
        <v>0</v>
      </c>
      <c r="B548" s="54" t="s">
        <v>863</v>
      </c>
      <c r="C548" s="54" t="s">
        <v>83</v>
      </c>
      <c r="D548" s="54" t="s">
        <v>1056</v>
      </c>
    </row>
    <row r="549">
      <c r="A549" s="54" t="b">
        <v>0</v>
      </c>
      <c r="B549" s="54" t="s">
        <v>864</v>
      </c>
      <c r="C549" s="54" t="s">
        <v>433</v>
      </c>
      <c r="D549" s="54" t="s">
        <v>1069</v>
      </c>
    </row>
    <row r="550">
      <c r="A550" s="54" t="b">
        <v>0</v>
      </c>
      <c r="B550" s="54" t="s">
        <v>865</v>
      </c>
      <c r="C550" s="54" t="s">
        <v>866</v>
      </c>
      <c r="D550" s="54" t="s">
        <v>1039</v>
      </c>
    </row>
    <row r="551">
      <c r="A551" s="54" t="b">
        <v>0</v>
      </c>
      <c r="B551" s="54" t="s">
        <v>867</v>
      </c>
      <c r="C551" s="54" t="s">
        <v>433</v>
      </c>
      <c r="D551" s="54" t="s">
        <v>1061</v>
      </c>
    </row>
    <row r="552">
      <c r="A552" s="54" t="b">
        <v>0</v>
      </c>
      <c r="B552" s="54" t="s">
        <v>868</v>
      </c>
      <c r="C552" s="54" t="s">
        <v>433</v>
      </c>
      <c r="D552" s="54" t="s">
        <v>1041</v>
      </c>
    </row>
    <row r="553">
      <c r="A553" s="54" t="b">
        <v>0</v>
      </c>
      <c r="B553" s="54" t="s">
        <v>869</v>
      </c>
      <c r="C553" s="54" t="s">
        <v>870</v>
      </c>
      <c r="D553" s="54" t="s">
        <v>1039</v>
      </c>
    </row>
    <row r="554">
      <c r="A554" s="54" t="b">
        <v>1</v>
      </c>
      <c r="B554" s="54" t="s">
        <v>871</v>
      </c>
      <c r="C554" s="54" t="s">
        <v>872</v>
      </c>
      <c r="D554" s="54" t="s">
        <v>1041</v>
      </c>
    </row>
    <row r="555">
      <c r="A555" s="54" t="b">
        <v>0</v>
      </c>
      <c r="B555" s="54" t="s">
        <v>873</v>
      </c>
      <c r="C555" s="54" t="s">
        <v>473</v>
      </c>
      <c r="D555" s="54" t="s">
        <v>1057</v>
      </c>
    </row>
    <row r="556">
      <c r="A556" s="54" t="b">
        <v>0</v>
      </c>
      <c r="B556" s="54" t="s">
        <v>874</v>
      </c>
      <c r="C556" s="54" t="s">
        <v>319</v>
      </c>
      <c r="D556" s="54" t="s">
        <v>1039</v>
      </c>
    </row>
    <row r="557">
      <c r="A557" s="54" t="b">
        <v>0</v>
      </c>
      <c r="B557" s="54" t="s">
        <v>875</v>
      </c>
      <c r="C557" s="54" t="s">
        <v>73</v>
      </c>
      <c r="D557" s="54" t="s">
        <v>1063</v>
      </c>
    </row>
    <row r="558">
      <c r="A558" s="54" t="b">
        <v>0</v>
      </c>
      <c r="B558" s="54" t="s">
        <v>876</v>
      </c>
      <c r="C558" s="54" t="s">
        <v>877</v>
      </c>
      <c r="D558" s="54" t="s">
        <v>1039</v>
      </c>
    </row>
    <row r="559">
      <c r="A559" s="54" t="b">
        <v>0</v>
      </c>
      <c r="B559" s="54" t="s">
        <v>878</v>
      </c>
      <c r="C559" s="54" t="s">
        <v>879</v>
      </c>
      <c r="D559" s="54" t="s">
        <v>1059</v>
      </c>
    </row>
    <row r="560">
      <c r="A560" s="54" t="b">
        <v>0</v>
      </c>
      <c r="B560" s="54" t="s">
        <v>880</v>
      </c>
      <c r="C560" s="54" t="s">
        <v>24</v>
      </c>
      <c r="D560" s="54" t="s">
        <v>1039</v>
      </c>
    </row>
    <row r="561">
      <c r="A561" s="54" t="b">
        <v>0</v>
      </c>
      <c r="B561" s="54" t="s">
        <v>881</v>
      </c>
      <c r="C561" s="54" t="s">
        <v>24</v>
      </c>
      <c r="D561" s="54" t="s">
        <v>1044</v>
      </c>
    </row>
    <row r="562">
      <c r="A562" s="54" t="b">
        <v>0</v>
      </c>
      <c r="B562" s="54" t="s">
        <v>882</v>
      </c>
      <c r="C562" s="54" t="s">
        <v>433</v>
      </c>
      <c r="D562" s="54" t="s">
        <v>1059</v>
      </c>
    </row>
    <row r="563">
      <c r="A563" s="54" t="b">
        <v>0</v>
      </c>
      <c r="B563" s="54" t="s">
        <v>883</v>
      </c>
      <c r="C563" s="54" t="s">
        <v>884</v>
      </c>
      <c r="D563" s="54" t="s">
        <v>1063</v>
      </c>
    </row>
    <row r="564">
      <c r="A564" s="54" t="b">
        <v>0</v>
      </c>
      <c r="B564" s="54" t="s">
        <v>885</v>
      </c>
      <c r="C564" s="54" t="s">
        <v>886</v>
      </c>
      <c r="D564" s="54" t="s">
        <v>1046</v>
      </c>
    </row>
    <row r="565">
      <c r="A565" s="54" t="b">
        <v>0</v>
      </c>
      <c r="B565" s="54" t="s">
        <v>887</v>
      </c>
      <c r="C565" s="54" t="s">
        <v>888</v>
      </c>
      <c r="D565" s="54" t="s">
        <v>1039</v>
      </c>
    </row>
    <row r="566">
      <c r="A566" s="54" t="b">
        <v>1</v>
      </c>
      <c r="B566" s="54" t="s">
        <v>889</v>
      </c>
      <c r="C566" s="54" t="s">
        <v>890</v>
      </c>
      <c r="D566" s="54" t="s">
        <v>1039</v>
      </c>
    </row>
    <row r="567">
      <c r="A567" s="54" t="b">
        <v>0</v>
      </c>
      <c r="B567" s="54" t="s">
        <v>891</v>
      </c>
      <c r="C567" s="54" t="s">
        <v>427</v>
      </c>
      <c r="D567" s="54" t="s">
        <v>1039</v>
      </c>
    </row>
    <row r="568">
      <c r="A568" s="54" t="b">
        <v>1</v>
      </c>
      <c r="B568" s="54" t="s">
        <v>892</v>
      </c>
      <c r="C568" s="54" t="s">
        <v>151</v>
      </c>
      <c r="D568" s="54" t="s">
        <v>1049</v>
      </c>
    </row>
    <row r="569">
      <c r="A569" s="54" t="b">
        <v>0</v>
      </c>
      <c r="B569" s="54" t="s">
        <v>893</v>
      </c>
      <c r="C569" s="54" t="s">
        <v>894</v>
      </c>
      <c r="D569" s="54" t="s">
        <v>1044</v>
      </c>
    </row>
    <row r="570">
      <c r="A570" s="54" t="b">
        <v>1</v>
      </c>
      <c r="B570" s="54" t="s">
        <v>895</v>
      </c>
      <c r="C570" s="54" t="s">
        <v>117</v>
      </c>
      <c r="D570" s="54" t="s">
        <v>1041</v>
      </c>
    </row>
    <row r="571">
      <c r="A571" s="54" t="b">
        <v>0</v>
      </c>
      <c r="B571" s="54" t="s">
        <v>896</v>
      </c>
      <c r="C571" s="54" t="s">
        <v>510</v>
      </c>
      <c r="D571" s="54" t="s">
        <v>1045</v>
      </c>
    </row>
    <row r="572">
      <c r="A572" s="54" t="b">
        <v>0</v>
      </c>
      <c r="B572" s="54" t="s">
        <v>897</v>
      </c>
      <c r="C572" s="54" t="s">
        <v>577</v>
      </c>
      <c r="D572" s="54" t="s">
        <v>1061</v>
      </c>
    </row>
    <row r="573">
      <c r="A573" s="54" t="b">
        <v>0</v>
      </c>
      <c r="B573" s="54" t="s">
        <v>898</v>
      </c>
      <c r="C573" s="54" t="s">
        <v>855</v>
      </c>
      <c r="D573" s="54" t="s">
        <v>1064</v>
      </c>
    </row>
    <row r="574">
      <c r="A574" s="54" t="b">
        <v>0</v>
      </c>
      <c r="B574" s="54" t="s">
        <v>899</v>
      </c>
      <c r="C574" s="54" t="s">
        <v>900</v>
      </c>
      <c r="D574" s="54" t="s">
        <v>1038</v>
      </c>
    </row>
    <row r="575">
      <c r="A575" s="54" t="b">
        <v>0</v>
      </c>
      <c r="B575" s="54" t="s">
        <v>901</v>
      </c>
      <c r="C575" s="54" t="s">
        <v>296</v>
      </c>
      <c r="D575" s="54" t="s">
        <v>1039</v>
      </c>
    </row>
    <row r="576">
      <c r="A576" s="54" t="b">
        <v>0</v>
      </c>
      <c r="B576" s="54" t="s">
        <v>902</v>
      </c>
      <c r="C576" s="54" t="s">
        <v>24</v>
      </c>
      <c r="D576" s="54" t="s">
        <v>1039</v>
      </c>
    </row>
    <row r="577">
      <c r="A577" s="54" t="b">
        <v>0</v>
      </c>
      <c r="B577" s="54" t="s">
        <v>903</v>
      </c>
      <c r="C577" s="54" t="s">
        <v>100</v>
      </c>
      <c r="D577" s="54" t="s">
        <v>1039</v>
      </c>
    </row>
    <row r="578">
      <c r="A578" s="54" t="b">
        <v>0</v>
      </c>
      <c r="B578" s="54" t="s">
        <v>904</v>
      </c>
      <c r="C578" s="54" t="s">
        <v>317</v>
      </c>
      <c r="D578" s="54" t="s">
        <v>1046</v>
      </c>
    </row>
    <row r="579">
      <c r="A579" s="54" t="b">
        <v>0</v>
      </c>
      <c r="B579" s="54" t="s">
        <v>905</v>
      </c>
      <c r="C579" s="54" t="s">
        <v>24</v>
      </c>
      <c r="D579" s="54" t="s">
        <v>1039</v>
      </c>
    </row>
    <row r="580">
      <c r="A580" s="54" t="b">
        <v>0</v>
      </c>
      <c r="B580" s="54" t="s">
        <v>906</v>
      </c>
      <c r="C580" s="54" t="s">
        <v>131</v>
      </c>
      <c r="D580" s="54" t="s">
        <v>1044</v>
      </c>
    </row>
    <row r="581">
      <c r="A581" s="54" t="b">
        <v>0</v>
      </c>
      <c r="B581" s="54" t="s">
        <v>907</v>
      </c>
      <c r="C581" s="54" t="s">
        <v>83</v>
      </c>
      <c r="D581" s="54" t="s">
        <v>1039</v>
      </c>
    </row>
    <row r="582">
      <c r="A582" s="54" t="b">
        <v>0</v>
      </c>
      <c r="B582" s="54" t="s">
        <v>908</v>
      </c>
      <c r="C582" s="54" t="s">
        <v>24</v>
      </c>
      <c r="D582" s="54" t="s">
        <v>1041</v>
      </c>
    </row>
    <row r="583">
      <c r="A583" s="54" t="b">
        <v>0</v>
      </c>
      <c r="B583" s="54" t="s">
        <v>908</v>
      </c>
      <c r="C583" s="54" t="s">
        <v>24</v>
      </c>
      <c r="D583" s="54" t="s">
        <v>1045</v>
      </c>
    </row>
    <row r="584">
      <c r="A584" s="54" t="b">
        <v>0</v>
      </c>
      <c r="B584" s="54" t="s">
        <v>909</v>
      </c>
      <c r="C584" s="54" t="s">
        <v>433</v>
      </c>
      <c r="D584" s="54" t="s">
        <v>1058</v>
      </c>
    </row>
    <row r="585">
      <c r="A585" s="54" t="b">
        <v>0</v>
      </c>
      <c r="B585" s="54" t="s">
        <v>910</v>
      </c>
      <c r="C585" s="54" t="s">
        <v>911</v>
      </c>
      <c r="D585" s="54" t="s">
        <v>1064</v>
      </c>
    </row>
    <row r="586">
      <c r="A586" s="54" t="b">
        <v>0</v>
      </c>
      <c r="B586" s="54" t="s">
        <v>912</v>
      </c>
      <c r="C586" s="54" t="s">
        <v>913</v>
      </c>
    </row>
    <row r="587">
      <c r="A587" s="54" t="b">
        <v>1</v>
      </c>
      <c r="B587" s="54" t="s">
        <v>914</v>
      </c>
      <c r="C587" s="54" t="s">
        <v>510</v>
      </c>
      <c r="D587" s="54" t="s">
        <v>1067</v>
      </c>
    </row>
    <row r="588">
      <c r="A588" s="54" t="b">
        <v>0</v>
      </c>
      <c r="B588" s="54" t="s">
        <v>915</v>
      </c>
      <c r="C588" s="54" t="s">
        <v>117</v>
      </c>
      <c r="D588" s="54" t="s">
        <v>1041</v>
      </c>
    </row>
    <row r="589">
      <c r="A589" s="54" t="b">
        <v>0</v>
      </c>
      <c r="B589" s="54" t="s">
        <v>916</v>
      </c>
      <c r="C589" s="54" t="s">
        <v>24</v>
      </c>
      <c r="D589" s="54" t="s">
        <v>1044</v>
      </c>
    </row>
    <row r="590">
      <c r="A590" s="54" t="b">
        <v>0</v>
      </c>
      <c r="B590" s="54" t="s">
        <v>917</v>
      </c>
      <c r="C590" s="54" t="s">
        <v>131</v>
      </c>
      <c r="D590" s="54" t="s">
        <v>1048</v>
      </c>
    </row>
    <row r="591">
      <c r="A591" s="54" t="b">
        <v>0</v>
      </c>
      <c r="B591" s="54" t="s">
        <v>918</v>
      </c>
      <c r="C591" s="54" t="s">
        <v>224</v>
      </c>
      <c r="D591" s="54" t="s">
        <v>1057</v>
      </c>
    </row>
    <row r="592">
      <c r="A592" s="54" t="b">
        <v>0</v>
      </c>
      <c r="B592" s="54" t="s">
        <v>919</v>
      </c>
      <c r="C592" s="54" t="s">
        <v>100</v>
      </c>
      <c r="D592" s="54" t="s">
        <v>1046</v>
      </c>
    </row>
    <row r="593">
      <c r="A593" s="54" t="b">
        <v>0</v>
      </c>
      <c r="B593" s="54" t="s">
        <v>920</v>
      </c>
      <c r="C593" s="54" t="s">
        <v>921</v>
      </c>
      <c r="D593" s="54" t="s">
        <v>1056</v>
      </c>
    </row>
    <row r="594">
      <c r="A594" s="54" t="b">
        <v>0</v>
      </c>
      <c r="B594" s="54" t="s">
        <v>922</v>
      </c>
      <c r="C594" s="54" t="s">
        <v>100</v>
      </c>
      <c r="D594" s="54" t="s">
        <v>1041</v>
      </c>
    </row>
    <row r="595">
      <c r="A595" s="54" t="b">
        <v>0</v>
      </c>
      <c r="B595" s="54" t="s">
        <v>923</v>
      </c>
      <c r="C595" s="54" t="s">
        <v>924</v>
      </c>
      <c r="D595" s="54" t="s">
        <v>1063</v>
      </c>
    </row>
    <row r="596">
      <c r="A596" s="54" t="b">
        <v>0</v>
      </c>
      <c r="B596" s="54" t="s">
        <v>925</v>
      </c>
      <c r="C596" s="54" t="s">
        <v>926</v>
      </c>
      <c r="D596" s="54" t="s">
        <v>1046</v>
      </c>
    </row>
    <row r="597">
      <c r="A597" s="54" t="b">
        <v>0</v>
      </c>
      <c r="B597" s="54" t="s">
        <v>927</v>
      </c>
      <c r="C597" s="54" t="s">
        <v>131</v>
      </c>
      <c r="D597" s="54" t="s">
        <v>1041</v>
      </c>
    </row>
    <row r="598">
      <c r="A598" s="54" t="b">
        <v>0</v>
      </c>
      <c r="B598" s="54" t="s">
        <v>928</v>
      </c>
      <c r="C598" s="54" t="s">
        <v>929</v>
      </c>
      <c r="D598" s="54" t="s">
        <v>1041</v>
      </c>
    </row>
    <row r="599">
      <c r="A599" s="54" t="b">
        <v>0</v>
      </c>
      <c r="B599" s="54" t="s">
        <v>930</v>
      </c>
      <c r="C599" s="54" t="s">
        <v>83</v>
      </c>
      <c r="D599" s="54" t="s">
        <v>1044</v>
      </c>
    </row>
    <row r="600">
      <c r="A600" s="54" t="b">
        <v>0</v>
      </c>
      <c r="B600" s="54" t="s">
        <v>931</v>
      </c>
      <c r="C600" s="54" t="s">
        <v>131</v>
      </c>
      <c r="D600" s="54" t="s">
        <v>1041</v>
      </c>
    </row>
    <row r="601">
      <c r="A601" s="54" t="b">
        <v>0</v>
      </c>
      <c r="B601" s="54" t="s">
        <v>932</v>
      </c>
      <c r="C601" s="54" t="s">
        <v>933</v>
      </c>
      <c r="D601" s="54" t="s">
        <v>1056</v>
      </c>
    </row>
    <row r="602">
      <c r="A602" s="54" t="b">
        <v>0</v>
      </c>
      <c r="B602" s="54" t="s">
        <v>934</v>
      </c>
      <c r="C602" s="54" t="s">
        <v>134</v>
      </c>
      <c r="D602" s="54" t="s">
        <v>1067</v>
      </c>
    </row>
    <row r="603">
      <c r="A603" s="54" t="b">
        <v>1</v>
      </c>
      <c r="B603" s="54" t="s">
        <v>935</v>
      </c>
      <c r="C603" s="54" t="s">
        <v>936</v>
      </c>
      <c r="D603" s="54" t="s">
        <v>1053</v>
      </c>
    </row>
    <row r="604">
      <c r="A604" s="54" t="b">
        <v>0</v>
      </c>
      <c r="B604" s="54" t="s">
        <v>937</v>
      </c>
      <c r="C604" s="54" t="s">
        <v>770</v>
      </c>
      <c r="D604" s="54" t="s">
        <v>1056</v>
      </c>
    </row>
    <row r="605">
      <c r="A605" s="54" t="b">
        <v>0</v>
      </c>
      <c r="B605" s="54" t="s">
        <v>938</v>
      </c>
      <c r="C605" s="54" t="s">
        <v>51</v>
      </c>
      <c r="D605" s="54" t="s">
        <v>1043</v>
      </c>
    </row>
    <row r="606">
      <c r="A606" s="54" t="b">
        <v>0</v>
      </c>
      <c r="B606" s="54" t="s">
        <v>939</v>
      </c>
      <c r="C606" s="54" t="s">
        <v>169</v>
      </c>
      <c r="D606" s="54" t="s">
        <v>1046</v>
      </c>
    </row>
    <row r="607">
      <c r="A607" s="54" t="b">
        <v>0</v>
      </c>
      <c r="B607" s="54" t="s">
        <v>940</v>
      </c>
      <c r="C607" s="54" t="s">
        <v>286</v>
      </c>
      <c r="D607" s="54" t="s">
        <v>1039</v>
      </c>
    </row>
    <row r="608">
      <c r="A608" s="54" t="b">
        <v>0</v>
      </c>
      <c r="B608" s="63" t="s">
        <v>941</v>
      </c>
      <c r="C608" s="54" t="s">
        <v>473</v>
      </c>
      <c r="D608" s="54" t="s">
        <v>1041</v>
      </c>
    </row>
    <row r="609">
      <c r="A609" s="54" t="b">
        <v>0</v>
      </c>
      <c r="B609" s="54" t="s">
        <v>942</v>
      </c>
      <c r="C609" s="54" t="s">
        <v>273</v>
      </c>
      <c r="D609" s="54" t="s">
        <v>1041</v>
      </c>
    </row>
    <row r="610">
      <c r="A610" s="54" t="b">
        <v>0</v>
      </c>
      <c r="B610" s="54" t="s">
        <v>943</v>
      </c>
      <c r="C610" s="54" t="s">
        <v>40</v>
      </c>
      <c r="D610" s="54" t="s">
        <v>1048</v>
      </c>
    </row>
    <row r="611">
      <c r="A611" s="54" t="b">
        <v>0</v>
      </c>
      <c r="B611" s="54" t="s">
        <v>944</v>
      </c>
      <c r="C611" s="54" t="s">
        <v>633</v>
      </c>
      <c r="D611" s="54" t="s">
        <v>1061</v>
      </c>
    </row>
  </sheetData>
  <hyperlinks>
    <hyperlink r:id="rId1" ref="B25"/>
    <hyperlink r:id="rId2" ref="B109"/>
    <hyperlink r:id="rId3" ref="B359"/>
    <hyperlink r:id="rId4" ref="B491"/>
    <hyperlink r:id="rId5" ref="B608"/>
  </hyperlin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25"/>
    <col customWidth="1" min="2" max="2" width="19.75"/>
  </cols>
  <sheetData>
    <row r="1">
      <c r="A1" s="54" t="s">
        <v>3</v>
      </c>
      <c r="B1" s="54" t="s">
        <v>4</v>
      </c>
      <c r="C1" s="54" t="s">
        <v>945</v>
      </c>
    </row>
    <row r="2">
      <c r="A2" s="54" t="s">
        <v>15</v>
      </c>
      <c r="B2" s="54" t="s">
        <v>16</v>
      </c>
      <c r="C2" s="54" t="s">
        <v>946</v>
      </c>
    </row>
    <row r="3">
      <c r="A3" s="54" t="s">
        <v>21</v>
      </c>
      <c r="B3" s="54" t="s">
        <v>22</v>
      </c>
      <c r="C3" s="54" t="s">
        <v>23</v>
      </c>
    </row>
    <row r="4">
      <c r="A4" s="55">
        <v>0.25</v>
      </c>
      <c r="B4" s="54" t="s">
        <v>26</v>
      </c>
      <c r="C4" s="54" t="s">
        <v>26</v>
      </c>
    </row>
    <row r="5">
      <c r="A5" s="54" t="s">
        <v>28</v>
      </c>
      <c r="B5" s="54" t="s">
        <v>16</v>
      </c>
      <c r="C5" s="54" t="s">
        <v>29</v>
      </c>
    </row>
    <row r="6">
      <c r="A6" s="54" t="s">
        <v>33</v>
      </c>
      <c r="B6" s="54" t="s">
        <v>16</v>
      </c>
      <c r="C6" s="54" t="s">
        <v>29</v>
      </c>
    </row>
    <row r="7">
      <c r="A7" s="54" t="s">
        <v>37</v>
      </c>
      <c r="B7" s="54" t="s">
        <v>38</v>
      </c>
      <c r="C7" s="54" t="s">
        <v>39</v>
      </c>
    </row>
    <row r="8">
      <c r="A8" s="54" t="s">
        <v>41</v>
      </c>
      <c r="B8" s="54" t="s">
        <v>42</v>
      </c>
      <c r="C8" s="54" t="s">
        <v>947</v>
      </c>
    </row>
    <row r="9">
      <c r="A9" s="54" t="s">
        <v>45</v>
      </c>
      <c r="B9" s="54" t="s">
        <v>46</v>
      </c>
      <c r="C9" s="54" t="s">
        <v>948</v>
      </c>
    </row>
    <row r="10">
      <c r="A10" s="54" t="s">
        <v>48</v>
      </c>
      <c r="B10" s="54" t="s">
        <v>46</v>
      </c>
      <c r="C10" s="54" t="s">
        <v>949</v>
      </c>
    </row>
    <row r="11">
      <c r="A11" s="54" t="s">
        <v>50</v>
      </c>
      <c r="B11" s="54" t="s">
        <v>46</v>
      </c>
      <c r="C11" s="54" t="s">
        <v>948</v>
      </c>
    </row>
    <row r="12">
      <c r="A12" s="54" t="s">
        <v>52</v>
      </c>
      <c r="B12" s="54" t="s">
        <v>38</v>
      </c>
      <c r="C12" s="54" t="s">
        <v>950</v>
      </c>
    </row>
    <row r="13">
      <c r="A13" s="54" t="s">
        <v>55</v>
      </c>
      <c r="B13" s="54" t="s">
        <v>56</v>
      </c>
      <c r="C13" s="54" t="s">
        <v>951</v>
      </c>
    </row>
    <row r="14">
      <c r="A14" s="54" t="s">
        <v>58</v>
      </c>
      <c r="B14" s="54" t="s">
        <v>22</v>
      </c>
      <c r="C14" s="54" t="s">
        <v>952</v>
      </c>
    </row>
    <row r="15">
      <c r="A15" s="54" t="s">
        <v>60</v>
      </c>
      <c r="B15" s="54" t="s">
        <v>22</v>
      </c>
      <c r="C15" s="54" t="s">
        <v>953</v>
      </c>
    </row>
    <row r="16">
      <c r="A16" s="54" t="s">
        <v>63</v>
      </c>
      <c r="B16" s="54" t="s">
        <v>64</v>
      </c>
      <c r="C16" s="54" t="s">
        <v>954</v>
      </c>
    </row>
    <row r="17">
      <c r="A17" s="54" t="s">
        <v>67</v>
      </c>
      <c r="B17" s="54" t="s">
        <v>22</v>
      </c>
      <c r="C17" s="54" t="s">
        <v>955</v>
      </c>
    </row>
    <row r="18">
      <c r="A18" s="54" t="s">
        <v>69</v>
      </c>
      <c r="B18" s="54" t="s">
        <v>22</v>
      </c>
      <c r="C18" s="54" t="s">
        <v>956</v>
      </c>
    </row>
    <row r="19">
      <c r="A19" s="54" t="s">
        <v>71</v>
      </c>
      <c r="B19" s="54" t="s">
        <v>72</v>
      </c>
      <c r="C19" s="54" t="s">
        <v>957</v>
      </c>
    </row>
    <row r="20">
      <c r="A20" s="54" t="s">
        <v>74</v>
      </c>
      <c r="B20" s="54" t="s">
        <v>22</v>
      </c>
      <c r="C20" s="54" t="s">
        <v>952</v>
      </c>
    </row>
    <row r="21">
      <c r="A21" s="54" t="s">
        <v>75</v>
      </c>
      <c r="B21" s="54" t="s">
        <v>46</v>
      </c>
      <c r="C21" s="54" t="s">
        <v>958</v>
      </c>
    </row>
    <row r="22">
      <c r="A22" s="54" t="s">
        <v>78</v>
      </c>
      <c r="B22" s="54" t="s">
        <v>38</v>
      </c>
      <c r="C22" s="54" t="s">
        <v>959</v>
      </c>
    </row>
    <row r="23">
      <c r="A23" s="54" t="s">
        <v>82</v>
      </c>
      <c r="B23" s="54" t="s">
        <v>38</v>
      </c>
      <c r="C23" s="54" t="s">
        <v>950</v>
      </c>
    </row>
    <row r="24">
      <c r="A24" s="54" t="s">
        <v>84</v>
      </c>
      <c r="B24" s="54" t="s">
        <v>46</v>
      </c>
      <c r="C24" s="54" t="s">
        <v>949</v>
      </c>
    </row>
    <row r="25">
      <c r="A25" s="54" t="s">
        <v>87</v>
      </c>
      <c r="B25" s="54" t="s">
        <v>22</v>
      </c>
      <c r="C25" s="54" t="s">
        <v>960</v>
      </c>
    </row>
    <row r="26">
      <c r="A26" s="54" t="s">
        <v>961</v>
      </c>
      <c r="B26" s="54" t="s">
        <v>16</v>
      </c>
      <c r="C26" s="54" t="s">
        <v>29</v>
      </c>
    </row>
    <row r="27">
      <c r="A27" s="54" t="s">
        <v>91</v>
      </c>
      <c r="B27" s="54" t="s">
        <v>64</v>
      </c>
      <c r="C27" s="54" t="s">
        <v>954</v>
      </c>
    </row>
    <row r="28">
      <c r="A28" s="54" t="s">
        <v>93</v>
      </c>
      <c r="B28" s="54" t="s">
        <v>46</v>
      </c>
      <c r="C28" s="54" t="s">
        <v>949</v>
      </c>
    </row>
    <row r="29">
      <c r="A29" s="54" t="s">
        <v>94</v>
      </c>
      <c r="B29" s="54" t="s">
        <v>16</v>
      </c>
      <c r="C29" s="54" t="s">
        <v>17</v>
      </c>
    </row>
    <row r="30">
      <c r="A30" s="54" t="s">
        <v>97</v>
      </c>
      <c r="B30" s="54" t="s">
        <v>72</v>
      </c>
      <c r="C30" s="54" t="s">
        <v>957</v>
      </c>
    </row>
    <row r="31">
      <c r="A31" s="54" t="s">
        <v>99</v>
      </c>
      <c r="B31" s="54" t="s">
        <v>22</v>
      </c>
      <c r="C31" s="54" t="s">
        <v>956</v>
      </c>
    </row>
    <row r="32">
      <c r="A32" s="54" t="s">
        <v>101</v>
      </c>
      <c r="B32" s="54" t="s">
        <v>22</v>
      </c>
      <c r="C32" s="54" t="s">
        <v>960</v>
      </c>
    </row>
    <row r="33">
      <c r="A33" s="54" t="s">
        <v>103</v>
      </c>
      <c r="B33" s="54" t="s">
        <v>46</v>
      </c>
      <c r="C33" s="54" t="s">
        <v>949</v>
      </c>
    </row>
    <row r="34">
      <c r="A34" s="54" t="s">
        <v>105</v>
      </c>
      <c r="B34" s="54" t="s">
        <v>22</v>
      </c>
      <c r="C34" s="54" t="s">
        <v>952</v>
      </c>
    </row>
    <row r="35">
      <c r="A35" s="54" t="s">
        <v>106</v>
      </c>
      <c r="B35" s="54" t="s">
        <v>16</v>
      </c>
      <c r="C35" s="54" t="s">
        <v>29</v>
      </c>
    </row>
    <row r="36">
      <c r="A36" s="54" t="s">
        <v>108</v>
      </c>
      <c r="B36" s="54" t="s">
        <v>64</v>
      </c>
      <c r="C36" s="54" t="s">
        <v>962</v>
      </c>
    </row>
    <row r="37">
      <c r="A37" s="54" t="s">
        <v>110</v>
      </c>
      <c r="B37" s="54" t="s">
        <v>111</v>
      </c>
      <c r="C37" s="54" t="s">
        <v>963</v>
      </c>
    </row>
    <row r="38">
      <c r="A38" s="54" t="s">
        <v>113</v>
      </c>
      <c r="B38" s="54" t="s">
        <v>42</v>
      </c>
      <c r="C38" s="54" t="s">
        <v>964</v>
      </c>
    </row>
    <row r="39">
      <c r="A39" s="54" t="s">
        <v>114</v>
      </c>
      <c r="B39" s="54" t="s">
        <v>22</v>
      </c>
      <c r="C39" s="54" t="s">
        <v>960</v>
      </c>
    </row>
    <row r="40">
      <c r="A40" s="54" t="s">
        <v>116</v>
      </c>
      <c r="B40" s="54" t="s">
        <v>46</v>
      </c>
      <c r="C40" s="54" t="s">
        <v>948</v>
      </c>
    </row>
    <row r="41">
      <c r="A41" s="54" t="s">
        <v>118</v>
      </c>
      <c r="B41" s="54" t="s">
        <v>42</v>
      </c>
      <c r="C41" s="54" t="s">
        <v>965</v>
      </c>
    </row>
    <row r="42">
      <c r="A42" s="54" t="s">
        <v>120</v>
      </c>
      <c r="B42" s="54" t="s">
        <v>16</v>
      </c>
      <c r="C42" s="54" t="s">
        <v>966</v>
      </c>
    </row>
    <row r="43">
      <c r="A43" s="54" t="s">
        <v>122</v>
      </c>
      <c r="B43" s="54" t="s">
        <v>56</v>
      </c>
      <c r="C43" s="54" t="s">
        <v>967</v>
      </c>
    </row>
    <row r="44">
      <c r="A44" s="54" t="s">
        <v>124</v>
      </c>
      <c r="B44" s="54" t="s">
        <v>56</v>
      </c>
      <c r="C44" s="54" t="s">
        <v>967</v>
      </c>
    </row>
    <row r="45">
      <c r="A45" s="54" t="s">
        <v>126</v>
      </c>
      <c r="B45" s="54" t="s">
        <v>46</v>
      </c>
      <c r="C45" s="54" t="s">
        <v>958</v>
      </c>
    </row>
    <row r="46">
      <c r="A46" s="54" t="s">
        <v>128</v>
      </c>
      <c r="B46" s="54" t="s">
        <v>46</v>
      </c>
      <c r="C46" s="54" t="s">
        <v>949</v>
      </c>
    </row>
    <row r="47">
      <c r="A47" s="54" t="s">
        <v>130</v>
      </c>
      <c r="B47" s="54" t="s">
        <v>46</v>
      </c>
      <c r="C47" s="54" t="s">
        <v>949</v>
      </c>
    </row>
    <row r="48">
      <c r="A48" s="54" t="s">
        <v>132</v>
      </c>
      <c r="B48" s="54" t="s">
        <v>38</v>
      </c>
      <c r="C48" s="54" t="s">
        <v>950</v>
      </c>
    </row>
    <row r="49">
      <c r="A49" s="54" t="s">
        <v>133</v>
      </c>
      <c r="B49" s="54" t="s">
        <v>22</v>
      </c>
      <c r="C49" s="54" t="s">
        <v>952</v>
      </c>
    </row>
    <row r="50">
      <c r="A50" s="54" t="s">
        <v>135</v>
      </c>
      <c r="B50" s="54" t="s">
        <v>22</v>
      </c>
      <c r="C50" s="54" t="s">
        <v>952</v>
      </c>
    </row>
    <row r="51">
      <c r="A51" s="54" t="s">
        <v>137</v>
      </c>
      <c r="B51" s="54" t="s">
        <v>16</v>
      </c>
      <c r="C51" s="54" t="s">
        <v>17</v>
      </c>
    </row>
    <row r="52">
      <c r="A52" s="54" t="s">
        <v>140</v>
      </c>
      <c r="B52" s="54" t="s">
        <v>22</v>
      </c>
      <c r="C52" s="54" t="s">
        <v>952</v>
      </c>
    </row>
    <row r="53">
      <c r="A53" s="54" t="s">
        <v>142</v>
      </c>
      <c r="B53" s="54" t="s">
        <v>72</v>
      </c>
      <c r="C53" s="54" t="s">
        <v>957</v>
      </c>
    </row>
    <row r="54">
      <c r="A54" s="54" t="s">
        <v>144</v>
      </c>
      <c r="B54" s="54" t="s">
        <v>46</v>
      </c>
      <c r="C54" s="54" t="s">
        <v>949</v>
      </c>
    </row>
    <row r="55">
      <c r="A55" s="54" t="s">
        <v>145</v>
      </c>
      <c r="B55" s="54" t="s">
        <v>46</v>
      </c>
      <c r="C55" s="54" t="s">
        <v>968</v>
      </c>
    </row>
    <row r="56">
      <c r="A56" s="54" t="s">
        <v>147</v>
      </c>
      <c r="B56" s="54" t="s">
        <v>46</v>
      </c>
      <c r="C56" s="54" t="s">
        <v>949</v>
      </c>
    </row>
    <row r="57">
      <c r="A57" s="54" t="s">
        <v>148</v>
      </c>
      <c r="B57" s="54" t="s">
        <v>56</v>
      </c>
      <c r="C57" s="54" t="s">
        <v>969</v>
      </c>
    </row>
    <row r="58">
      <c r="A58" s="54" t="s">
        <v>150</v>
      </c>
      <c r="B58" s="54" t="s">
        <v>22</v>
      </c>
      <c r="C58" s="54" t="s">
        <v>970</v>
      </c>
    </row>
    <row r="59">
      <c r="A59" s="54" t="s">
        <v>152</v>
      </c>
      <c r="B59" s="54" t="s">
        <v>46</v>
      </c>
      <c r="C59" s="54" t="s">
        <v>949</v>
      </c>
    </row>
    <row r="60">
      <c r="A60" s="54" t="s">
        <v>154</v>
      </c>
      <c r="B60" s="54" t="s">
        <v>38</v>
      </c>
      <c r="C60" s="54" t="s">
        <v>950</v>
      </c>
    </row>
    <row r="61">
      <c r="A61" s="54" t="s">
        <v>156</v>
      </c>
      <c r="B61" s="54" t="s">
        <v>22</v>
      </c>
      <c r="C61" s="54" t="s">
        <v>971</v>
      </c>
    </row>
    <row r="62">
      <c r="A62" s="54" t="s">
        <v>158</v>
      </c>
      <c r="B62" s="54" t="s">
        <v>16</v>
      </c>
      <c r="C62" s="54" t="s">
        <v>972</v>
      </c>
    </row>
    <row r="63">
      <c r="A63" s="54" t="s">
        <v>160</v>
      </c>
      <c r="B63" s="54" t="s">
        <v>46</v>
      </c>
      <c r="C63" s="54" t="s">
        <v>949</v>
      </c>
    </row>
    <row r="64">
      <c r="A64" s="54" t="s">
        <v>162</v>
      </c>
      <c r="B64" s="54" t="s">
        <v>46</v>
      </c>
      <c r="C64" s="54" t="s">
        <v>958</v>
      </c>
    </row>
    <row r="65">
      <c r="A65" s="54" t="s">
        <v>163</v>
      </c>
      <c r="B65" s="54" t="s">
        <v>56</v>
      </c>
      <c r="C65" s="54" t="s">
        <v>973</v>
      </c>
    </row>
    <row r="66">
      <c r="A66" s="54" t="s">
        <v>164</v>
      </c>
      <c r="B66" s="54" t="s">
        <v>72</v>
      </c>
      <c r="C66" s="54" t="s">
        <v>957</v>
      </c>
    </row>
    <row r="67">
      <c r="A67" s="54" t="s">
        <v>166</v>
      </c>
      <c r="B67" s="54" t="s">
        <v>72</v>
      </c>
      <c r="C67" s="54" t="s">
        <v>974</v>
      </c>
    </row>
    <row r="68">
      <c r="A68" s="54" t="s">
        <v>168</v>
      </c>
      <c r="B68" s="54" t="s">
        <v>64</v>
      </c>
      <c r="C68" s="54" t="s">
        <v>954</v>
      </c>
    </row>
    <row r="69">
      <c r="A69" s="54" t="s">
        <v>170</v>
      </c>
      <c r="B69" s="54" t="s">
        <v>56</v>
      </c>
      <c r="C69" s="54" t="s">
        <v>975</v>
      </c>
    </row>
    <row r="70">
      <c r="A70" s="54" t="s">
        <v>171</v>
      </c>
      <c r="B70" s="54" t="s">
        <v>46</v>
      </c>
      <c r="C70" s="54" t="s">
        <v>958</v>
      </c>
    </row>
    <row r="71">
      <c r="A71" s="54" t="s">
        <v>172</v>
      </c>
      <c r="B71" s="54" t="s">
        <v>72</v>
      </c>
      <c r="C71" s="54" t="s">
        <v>957</v>
      </c>
    </row>
    <row r="72">
      <c r="A72" s="54" t="s">
        <v>174</v>
      </c>
      <c r="B72" s="54" t="s">
        <v>42</v>
      </c>
      <c r="C72" s="54" t="s">
        <v>965</v>
      </c>
    </row>
    <row r="73">
      <c r="A73" s="54" t="s">
        <v>177</v>
      </c>
      <c r="B73" s="54" t="s">
        <v>56</v>
      </c>
      <c r="C73" s="54" t="s">
        <v>967</v>
      </c>
    </row>
    <row r="74">
      <c r="A74" s="54" t="s">
        <v>179</v>
      </c>
      <c r="B74" s="54" t="s">
        <v>22</v>
      </c>
      <c r="C74" s="54" t="s">
        <v>952</v>
      </c>
    </row>
    <row r="75">
      <c r="A75" s="54" t="s">
        <v>180</v>
      </c>
      <c r="B75" s="54" t="s">
        <v>22</v>
      </c>
      <c r="C75" s="54" t="s">
        <v>952</v>
      </c>
    </row>
    <row r="76">
      <c r="A76" s="54" t="s">
        <v>182</v>
      </c>
      <c r="B76" s="54" t="s">
        <v>22</v>
      </c>
      <c r="C76" s="54" t="s">
        <v>976</v>
      </c>
    </row>
    <row r="77">
      <c r="A77" s="54" t="s">
        <v>183</v>
      </c>
      <c r="B77" s="54" t="s">
        <v>72</v>
      </c>
      <c r="C77" s="54" t="s">
        <v>974</v>
      </c>
    </row>
    <row r="78">
      <c r="A78" s="54" t="s">
        <v>184</v>
      </c>
      <c r="B78" s="54" t="s">
        <v>56</v>
      </c>
      <c r="C78" s="54" t="s">
        <v>975</v>
      </c>
    </row>
    <row r="79">
      <c r="A79" s="54" t="s">
        <v>186</v>
      </c>
      <c r="B79" s="54" t="s">
        <v>46</v>
      </c>
      <c r="C79" s="54" t="s">
        <v>949</v>
      </c>
    </row>
    <row r="80">
      <c r="A80" s="54" t="s">
        <v>188</v>
      </c>
      <c r="B80" s="54" t="s">
        <v>56</v>
      </c>
      <c r="C80" s="54" t="s">
        <v>967</v>
      </c>
    </row>
    <row r="81">
      <c r="A81" s="54" t="s">
        <v>190</v>
      </c>
      <c r="B81" s="54" t="s">
        <v>46</v>
      </c>
      <c r="C81" s="54" t="s">
        <v>958</v>
      </c>
    </row>
    <row r="82">
      <c r="A82" s="54" t="s">
        <v>191</v>
      </c>
      <c r="B82" s="54" t="s">
        <v>22</v>
      </c>
      <c r="C82" s="54" t="s">
        <v>952</v>
      </c>
    </row>
    <row r="83">
      <c r="A83" s="54" t="s">
        <v>192</v>
      </c>
      <c r="B83" s="54" t="s">
        <v>16</v>
      </c>
      <c r="C83" s="54" t="s">
        <v>977</v>
      </c>
    </row>
    <row r="84">
      <c r="A84" s="54" t="s">
        <v>194</v>
      </c>
      <c r="B84" s="54" t="s">
        <v>42</v>
      </c>
      <c r="C84" s="54" t="s">
        <v>964</v>
      </c>
    </row>
    <row r="85">
      <c r="A85" s="54" t="s">
        <v>196</v>
      </c>
      <c r="B85" s="54" t="s">
        <v>56</v>
      </c>
      <c r="C85" s="54" t="s">
        <v>978</v>
      </c>
    </row>
    <row r="86">
      <c r="A86" s="54" t="s">
        <v>197</v>
      </c>
      <c r="B86" s="54" t="s">
        <v>16</v>
      </c>
      <c r="C86" s="54" t="s">
        <v>29</v>
      </c>
    </row>
    <row r="87">
      <c r="A87" s="54" t="s">
        <v>198</v>
      </c>
      <c r="B87" s="54" t="s">
        <v>16</v>
      </c>
      <c r="C87" s="54" t="s">
        <v>29</v>
      </c>
    </row>
    <row r="88">
      <c r="A88" s="54" t="s">
        <v>199</v>
      </c>
      <c r="B88" s="54" t="s">
        <v>72</v>
      </c>
      <c r="C88" s="54" t="s">
        <v>979</v>
      </c>
    </row>
    <row r="89">
      <c r="A89" s="54" t="s">
        <v>200</v>
      </c>
      <c r="B89" s="54" t="s">
        <v>64</v>
      </c>
      <c r="C89" s="54" t="s">
        <v>980</v>
      </c>
    </row>
    <row r="90">
      <c r="A90" s="54" t="s">
        <v>202</v>
      </c>
      <c r="B90" s="54" t="s">
        <v>22</v>
      </c>
      <c r="C90" s="54" t="s">
        <v>960</v>
      </c>
    </row>
    <row r="91">
      <c r="A91" s="54" t="s">
        <v>203</v>
      </c>
      <c r="B91" s="54" t="s">
        <v>38</v>
      </c>
      <c r="C91" s="54" t="s">
        <v>950</v>
      </c>
    </row>
    <row r="92">
      <c r="A92" s="54" t="s">
        <v>205</v>
      </c>
      <c r="B92" s="54" t="s">
        <v>111</v>
      </c>
      <c r="C92" s="54" t="s">
        <v>963</v>
      </c>
    </row>
    <row r="93">
      <c r="A93" s="54" t="s">
        <v>981</v>
      </c>
      <c r="B93" s="54" t="s">
        <v>16</v>
      </c>
      <c r="C93" s="54" t="s">
        <v>946</v>
      </c>
    </row>
    <row r="94">
      <c r="A94" s="54" t="s">
        <v>208</v>
      </c>
      <c r="B94" s="54" t="s">
        <v>111</v>
      </c>
      <c r="C94" s="54" t="s">
        <v>963</v>
      </c>
    </row>
    <row r="95">
      <c r="A95" s="54" t="s">
        <v>210</v>
      </c>
      <c r="B95" s="54" t="s">
        <v>22</v>
      </c>
      <c r="C95" s="54" t="s">
        <v>952</v>
      </c>
    </row>
    <row r="96">
      <c r="A96" s="54" t="s">
        <v>213</v>
      </c>
      <c r="B96" s="54" t="s">
        <v>72</v>
      </c>
      <c r="C96" s="54" t="s">
        <v>974</v>
      </c>
    </row>
    <row r="97">
      <c r="A97" s="54" t="s">
        <v>214</v>
      </c>
      <c r="B97" s="54" t="s">
        <v>16</v>
      </c>
      <c r="C97" s="54" t="s">
        <v>966</v>
      </c>
    </row>
    <row r="98">
      <c r="A98" s="54" t="s">
        <v>216</v>
      </c>
      <c r="B98" s="54" t="s">
        <v>217</v>
      </c>
      <c r="C98" s="54" t="s">
        <v>982</v>
      </c>
    </row>
    <row r="99">
      <c r="A99" s="54" t="s">
        <v>983</v>
      </c>
      <c r="B99" s="54" t="s">
        <v>220</v>
      </c>
      <c r="C99" s="54" t="s">
        <v>984</v>
      </c>
    </row>
    <row r="100">
      <c r="A100" s="54" t="s">
        <v>222</v>
      </c>
      <c r="B100" s="54" t="s">
        <v>22</v>
      </c>
      <c r="C100" s="54" t="s">
        <v>952</v>
      </c>
    </row>
    <row r="101">
      <c r="A101" s="54" t="s">
        <v>223</v>
      </c>
      <c r="B101" s="54" t="s">
        <v>46</v>
      </c>
      <c r="C101" s="54" t="s">
        <v>985</v>
      </c>
    </row>
    <row r="102">
      <c r="A102" s="54" t="s">
        <v>225</v>
      </c>
      <c r="B102" s="54" t="s">
        <v>22</v>
      </c>
      <c r="C102" s="54" t="s">
        <v>952</v>
      </c>
    </row>
    <row r="103">
      <c r="A103" s="54" t="s">
        <v>226</v>
      </c>
      <c r="B103" s="54" t="s">
        <v>46</v>
      </c>
      <c r="C103" s="54" t="s">
        <v>968</v>
      </c>
    </row>
    <row r="104">
      <c r="A104" s="54" t="s">
        <v>227</v>
      </c>
      <c r="B104" s="54" t="s">
        <v>22</v>
      </c>
      <c r="C104" s="54" t="s">
        <v>952</v>
      </c>
    </row>
    <row r="105">
      <c r="A105" s="54" t="s">
        <v>229</v>
      </c>
      <c r="B105" s="54" t="s">
        <v>56</v>
      </c>
      <c r="C105" s="54" t="s">
        <v>975</v>
      </c>
    </row>
    <row r="106">
      <c r="A106" s="54" t="s">
        <v>230</v>
      </c>
      <c r="B106" s="54" t="s">
        <v>56</v>
      </c>
      <c r="C106" s="54" t="s">
        <v>975</v>
      </c>
    </row>
    <row r="107">
      <c r="A107" s="54" t="s">
        <v>232</v>
      </c>
      <c r="B107" s="54" t="s">
        <v>22</v>
      </c>
      <c r="C107" s="54" t="s">
        <v>986</v>
      </c>
    </row>
    <row r="108">
      <c r="A108" s="54" t="s">
        <v>233</v>
      </c>
      <c r="B108" s="54" t="s">
        <v>46</v>
      </c>
      <c r="C108" s="54" t="s">
        <v>985</v>
      </c>
    </row>
    <row r="109">
      <c r="A109" s="54" t="s">
        <v>234</v>
      </c>
      <c r="B109" s="54" t="s">
        <v>72</v>
      </c>
      <c r="C109" s="54" t="s">
        <v>957</v>
      </c>
    </row>
    <row r="110">
      <c r="A110" s="54" t="s">
        <v>235</v>
      </c>
      <c r="B110" s="54" t="s">
        <v>16</v>
      </c>
      <c r="C110" s="54" t="s">
        <v>29</v>
      </c>
    </row>
    <row r="111">
      <c r="A111" s="54" t="s">
        <v>237</v>
      </c>
      <c r="B111" s="54" t="s">
        <v>16</v>
      </c>
      <c r="C111" s="54" t="s">
        <v>946</v>
      </c>
    </row>
    <row r="112">
      <c r="A112" s="54" t="s">
        <v>238</v>
      </c>
      <c r="B112" s="54" t="s">
        <v>38</v>
      </c>
      <c r="C112" s="54" t="s">
        <v>987</v>
      </c>
    </row>
    <row r="113">
      <c r="A113" s="54" t="s">
        <v>239</v>
      </c>
      <c r="B113" s="54" t="s">
        <v>111</v>
      </c>
      <c r="C113" s="54" t="s">
        <v>963</v>
      </c>
    </row>
    <row r="114">
      <c r="A114" s="54" t="s">
        <v>240</v>
      </c>
      <c r="B114" s="54" t="s">
        <v>38</v>
      </c>
      <c r="C114" s="54" t="s">
        <v>39</v>
      </c>
    </row>
    <row r="115">
      <c r="A115" s="54" t="s">
        <v>241</v>
      </c>
      <c r="B115" s="54" t="s">
        <v>22</v>
      </c>
      <c r="C115" s="54" t="s">
        <v>952</v>
      </c>
    </row>
    <row r="116">
      <c r="A116" s="54" t="s">
        <v>243</v>
      </c>
      <c r="B116" s="54" t="s">
        <v>22</v>
      </c>
      <c r="C116" s="54" t="s">
        <v>988</v>
      </c>
    </row>
    <row r="117">
      <c r="A117" s="54" t="s">
        <v>244</v>
      </c>
      <c r="B117" s="54" t="s">
        <v>22</v>
      </c>
      <c r="C117" s="54" t="s">
        <v>988</v>
      </c>
    </row>
    <row r="118">
      <c r="A118" s="54" t="s">
        <v>245</v>
      </c>
      <c r="B118" s="54" t="s">
        <v>64</v>
      </c>
      <c r="C118" s="54" t="s">
        <v>989</v>
      </c>
    </row>
    <row r="119">
      <c r="A119" s="54" t="s">
        <v>247</v>
      </c>
      <c r="B119" s="54" t="s">
        <v>72</v>
      </c>
      <c r="C119" s="54" t="s">
        <v>979</v>
      </c>
    </row>
    <row r="120">
      <c r="A120" s="54" t="s">
        <v>249</v>
      </c>
      <c r="B120" s="54" t="s">
        <v>46</v>
      </c>
      <c r="C120" s="54" t="s">
        <v>948</v>
      </c>
    </row>
    <row r="121">
      <c r="A121" s="54" t="s">
        <v>250</v>
      </c>
      <c r="B121" s="54" t="s">
        <v>22</v>
      </c>
      <c r="C121" s="54" t="s">
        <v>960</v>
      </c>
    </row>
    <row r="122">
      <c r="A122" s="54" t="s">
        <v>252</v>
      </c>
      <c r="B122" s="54" t="s">
        <v>42</v>
      </c>
      <c r="C122" s="54" t="s">
        <v>965</v>
      </c>
    </row>
    <row r="123">
      <c r="A123" s="54" t="s">
        <v>254</v>
      </c>
      <c r="B123" s="54" t="s">
        <v>46</v>
      </c>
      <c r="C123" s="54" t="s">
        <v>985</v>
      </c>
    </row>
    <row r="124">
      <c r="A124" s="54" t="s">
        <v>255</v>
      </c>
      <c r="B124" s="54" t="s">
        <v>22</v>
      </c>
      <c r="C124" s="54" t="s">
        <v>960</v>
      </c>
    </row>
    <row r="125">
      <c r="A125" s="54" t="s">
        <v>256</v>
      </c>
      <c r="B125" s="54" t="s">
        <v>46</v>
      </c>
      <c r="C125" s="54" t="s">
        <v>949</v>
      </c>
    </row>
    <row r="126">
      <c r="A126" s="54" t="s">
        <v>257</v>
      </c>
      <c r="B126" s="54" t="s">
        <v>56</v>
      </c>
      <c r="C126" s="54" t="s">
        <v>967</v>
      </c>
    </row>
    <row r="127">
      <c r="A127" s="54" t="s">
        <v>258</v>
      </c>
      <c r="B127" s="54" t="s">
        <v>217</v>
      </c>
      <c r="C127" s="54" t="s">
        <v>990</v>
      </c>
    </row>
    <row r="128">
      <c r="A128" s="54" t="s">
        <v>260</v>
      </c>
      <c r="B128" s="54" t="s">
        <v>111</v>
      </c>
      <c r="C128" s="54" t="s">
        <v>963</v>
      </c>
    </row>
    <row r="129">
      <c r="A129" s="54" t="s">
        <v>261</v>
      </c>
      <c r="B129" s="54" t="s">
        <v>22</v>
      </c>
      <c r="C129" s="54" t="s">
        <v>988</v>
      </c>
    </row>
    <row r="130">
      <c r="A130" s="54" t="s">
        <v>262</v>
      </c>
      <c r="B130" s="54" t="s">
        <v>38</v>
      </c>
      <c r="C130" s="54" t="s">
        <v>950</v>
      </c>
    </row>
    <row r="131">
      <c r="A131" s="54" t="s">
        <v>263</v>
      </c>
      <c r="B131" s="54" t="s">
        <v>22</v>
      </c>
      <c r="C131" s="54" t="s">
        <v>970</v>
      </c>
    </row>
    <row r="132">
      <c r="A132" s="54" t="s">
        <v>264</v>
      </c>
      <c r="B132" s="54" t="s">
        <v>42</v>
      </c>
      <c r="C132" s="54" t="s">
        <v>991</v>
      </c>
    </row>
    <row r="133">
      <c r="A133" s="54" t="s">
        <v>265</v>
      </c>
      <c r="B133" s="54" t="s">
        <v>56</v>
      </c>
      <c r="C133" s="54" t="s">
        <v>975</v>
      </c>
    </row>
    <row r="134">
      <c r="A134" s="54" t="s">
        <v>266</v>
      </c>
      <c r="B134" s="54" t="s">
        <v>64</v>
      </c>
      <c r="C134" s="54" t="s">
        <v>962</v>
      </c>
    </row>
    <row r="135">
      <c r="A135" s="54" t="s">
        <v>268</v>
      </c>
      <c r="B135" s="54" t="s">
        <v>72</v>
      </c>
      <c r="C135" s="54" t="s">
        <v>979</v>
      </c>
    </row>
    <row r="136">
      <c r="A136" s="54" t="s">
        <v>270</v>
      </c>
      <c r="B136" s="54" t="s">
        <v>46</v>
      </c>
      <c r="C136" s="54" t="s">
        <v>968</v>
      </c>
    </row>
    <row r="137">
      <c r="A137" s="54" t="s">
        <v>272</v>
      </c>
      <c r="B137" s="54" t="s">
        <v>46</v>
      </c>
      <c r="C137" s="54" t="s">
        <v>948</v>
      </c>
    </row>
    <row r="138">
      <c r="A138" s="54" t="s">
        <v>274</v>
      </c>
      <c r="B138" s="54" t="s">
        <v>38</v>
      </c>
      <c r="C138" s="54" t="s">
        <v>987</v>
      </c>
    </row>
    <row r="139">
      <c r="A139" s="54" t="s">
        <v>275</v>
      </c>
      <c r="B139" s="54" t="s">
        <v>46</v>
      </c>
      <c r="C139" s="54" t="s">
        <v>949</v>
      </c>
    </row>
    <row r="140">
      <c r="A140" s="54" t="s">
        <v>278</v>
      </c>
      <c r="B140" s="54" t="s">
        <v>46</v>
      </c>
      <c r="C140" s="54" t="s">
        <v>985</v>
      </c>
    </row>
    <row r="141">
      <c r="A141" s="54" t="s">
        <v>992</v>
      </c>
      <c r="B141" s="54" t="s">
        <v>64</v>
      </c>
      <c r="C141" s="54" t="s">
        <v>980</v>
      </c>
    </row>
    <row r="142">
      <c r="A142" s="54" t="s">
        <v>281</v>
      </c>
      <c r="B142" s="54" t="s">
        <v>22</v>
      </c>
      <c r="C142" s="54" t="s">
        <v>953</v>
      </c>
    </row>
    <row r="143">
      <c r="A143" s="54" t="s">
        <v>283</v>
      </c>
      <c r="B143" s="54" t="s">
        <v>16</v>
      </c>
      <c r="C143" s="54" t="s">
        <v>29</v>
      </c>
    </row>
    <row r="144">
      <c r="A144" s="54" t="s">
        <v>285</v>
      </c>
      <c r="B144" s="54" t="s">
        <v>22</v>
      </c>
      <c r="C144" s="54" t="s">
        <v>952</v>
      </c>
    </row>
    <row r="145">
      <c r="A145" s="54" t="s">
        <v>287</v>
      </c>
      <c r="B145" s="54" t="s">
        <v>56</v>
      </c>
      <c r="C145" s="54" t="s">
        <v>967</v>
      </c>
    </row>
    <row r="146">
      <c r="A146" s="54" t="s">
        <v>288</v>
      </c>
      <c r="B146" s="54" t="s">
        <v>72</v>
      </c>
      <c r="C146" s="54" t="s">
        <v>974</v>
      </c>
    </row>
    <row r="147">
      <c r="A147" s="54" t="s">
        <v>290</v>
      </c>
      <c r="B147" s="54" t="s">
        <v>16</v>
      </c>
      <c r="C147" s="54" t="s">
        <v>17</v>
      </c>
    </row>
    <row r="148">
      <c r="A148" s="54" t="s">
        <v>292</v>
      </c>
      <c r="B148" s="54" t="s">
        <v>22</v>
      </c>
      <c r="C148" s="54" t="s">
        <v>976</v>
      </c>
    </row>
    <row r="149">
      <c r="A149" s="54" t="s">
        <v>993</v>
      </c>
      <c r="B149" s="54" t="s">
        <v>46</v>
      </c>
      <c r="C149" s="54" t="s">
        <v>958</v>
      </c>
    </row>
    <row r="150">
      <c r="A150" s="54" t="s">
        <v>294</v>
      </c>
      <c r="B150" s="54" t="s">
        <v>72</v>
      </c>
      <c r="C150" s="54" t="s">
        <v>979</v>
      </c>
    </row>
    <row r="151">
      <c r="A151" s="54" t="s">
        <v>295</v>
      </c>
      <c r="B151" s="54" t="s">
        <v>56</v>
      </c>
      <c r="C151" s="54" t="s">
        <v>967</v>
      </c>
    </row>
    <row r="152">
      <c r="A152" s="54" t="s">
        <v>297</v>
      </c>
      <c r="B152" s="54" t="s">
        <v>16</v>
      </c>
      <c r="C152" s="54" t="s">
        <v>966</v>
      </c>
    </row>
    <row r="153">
      <c r="A153" s="54" t="s">
        <v>299</v>
      </c>
      <c r="B153" s="54" t="s">
        <v>42</v>
      </c>
      <c r="C153" s="54" t="s">
        <v>947</v>
      </c>
    </row>
    <row r="154">
      <c r="A154" s="54" t="s">
        <v>300</v>
      </c>
      <c r="B154" s="54" t="s">
        <v>16</v>
      </c>
      <c r="C154" s="54" t="s">
        <v>994</v>
      </c>
    </row>
    <row r="155">
      <c r="A155" s="54" t="s">
        <v>302</v>
      </c>
      <c r="B155" s="54" t="s">
        <v>72</v>
      </c>
      <c r="C155" s="54" t="s">
        <v>974</v>
      </c>
    </row>
    <row r="156">
      <c r="A156" s="54" t="s">
        <v>303</v>
      </c>
      <c r="B156" s="54" t="s">
        <v>22</v>
      </c>
      <c r="C156" s="54" t="s">
        <v>953</v>
      </c>
    </row>
    <row r="157">
      <c r="A157" s="54" t="s">
        <v>304</v>
      </c>
      <c r="B157" s="54" t="s">
        <v>42</v>
      </c>
      <c r="C157" s="54" t="s">
        <v>947</v>
      </c>
    </row>
    <row r="158">
      <c r="A158" s="54" t="s">
        <v>307</v>
      </c>
      <c r="B158" s="54" t="s">
        <v>111</v>
      </c>
      <c r="C158" s="54" t="s">
        <v>963</v>
      </c>
    </row>
    <row r="159">
      <c r="A159" s="54" t="s">
        <v>309</v>
      </c>
      <c r="B159" s="54" t="s">
        <v>46</v>
      </c>
      <c r="C159" s="54" t="s">
        <v>949</v>
      </c>
    </row>
    <row r="160">
      <c r="A160" s="54" t="s">
        <v>311</v>
      </c>
      <c r="B160" s="54" t="s">
        <v>16</v>
      </c>
      <c r="C160" s="54" t="s">
        <v>966</v>
      </c>
    </row>
    <row r="161">
      <c r="A161" s="54" t="s">
        <v>312</v>
      </c>
      <c r="B161" s="54" t="s">
        <v>16</v>
      </c>
      <c r="C161" s="54" t="s">
        <v>994</v>
      </c>
    </row>
    <row r="162">
      <c r="A162" s="54" t="s">
        <v>314</v>
      </c>
      <c r="B162" s="54" t="s">
        <v>46</v>
      </c>
      <c r="C162" s="54" t="s">
        <v>985</v>
      </c>
    </row>
    <row r="163">
      <c r="A163" s="54" t="s">
        <v>316</v>
      </c>
      <c r="B163" s="54" t="s">
        <v>22</v>
      </c>
      <c r="C163" s="54" t="s">
        <v>952</v>
      </c>
    </row>
    <row r="164">
      <c r="A164" s="54" t="s">
        <v>318</v>
      </c>
      <c r="B164" s="54" t="s">
        <v>22</v>
      </c>
      <c r="C164" s="54" t="s">
        <v>970</v>
      </c>
    </row>
    <row r="165">
      <c r="A165" s="54" t="s">
        <v>320</v>
      </c>
      <c r="B165" s="54" t="s">
        <v>22</v>
      </c>
      <c r="C165" s="54" t="s">
        <v>952</v>
      </c>
    </row>
    <row r="166">
      <c r="A166" s="54" t="s">
        <v>322</v>
      </c>
      <c r="B166" s="54" t="s">
        <v>56</v>
      </c>
      <c r="C166" s="54" t="s">
        <v>967</v>
      </c>
    </row>
    <row r="167">
      <c r="A167" s="54" t="s">
        <v>324</v>
      </c>
      <c r="B167" s="54" t="s">
        <v>46</v>
      </c>
      <c r="C167" s="54" t="s">
        <v>949</v>
      </c>
    </row>
    <row r="168">
      <c r="A168" s="54" t="s">
        <v>326</v>
      </c>
      <c r="B168" s="54" t="s">
        <v>56</v>
      </c>
      <c r="C168" s="54" t="s">
        <v>967</v>
      </c>
    </row>
    <row r="169">
      <c r="A169" s="54" t="s">
        <v>327</v>
      </c>
      <c r="B169" s="54" t="s">
        <v>72</v>
      </c>
      <c r="C169" s="54" t="s">
        <v>995</v>
      </c>
    </row>
    <row r="170">
      <c r="A170" s="54" t="s">
        <v>329</v>
      </c>
      <c r="B170" s="54" t="s">
        <v>46</v>
      </c>
      <c r="C170" s="54" t="s">
        <v>949</v>
      </c>
    </row>
    <row r="171">
      <c r="A171" s="54" t="s">
        <v>330</v>
      </c>
      <c r="B171" s="54" t="s">
        <v>16</v>
      </c>
      <c r="C171" s="54" t="s">
        <v>946</v>
      </c>
    </row>
    <row r="172">
      <c r="A172" s="54" t="s">
        <v>332</v>
      </c>
      <c r="B172" s="54" t="s">
        <v>72</v>
      </c>
      <c r="C172" s="54" t="s">
        <v>995</v>
      </c>
    </row>
    <row r="173">
      <c r="A173" s="54" t="s">
        <v>996</v>
      </c>
      <c r="B173" s="54" t="s">
        <v>64</v>
      </c>
      <c r="C173" s="54" t="s">
        <v>989</v>
      </c>
    </row>
    <row r="174">
      <c r="A174" s="54" t="s">
        <v>334</v>
      </c>
      <c r="B174" s="54" t="s">
        <v>22</v>
      </c>
      <c r="C174" s="54" t="s">
        <v>988</v>
      </c>
    </row>
    <row r="175">
      <c r="A175" s="54" t="s">
        <v>335</v>
      </c>
      <c r="B175" s="54" t="s">
        <v>64</v>
      </c>
      <c r="C175" s="54" t="s">
        <v>989</v>
      </c>
    </row>
    <row r="176">
      <c r="A176" s="54" t="s">
        <v>337</v>
      </c>
      <c r="B176" s="54" t="s">
        <v>72</v>
      </c>
      <c r="C176" s="54" t="s">
        <v>974</v>
      </c>
    </row>
    <row r="177">
      <c r="A177" s="54" t="s">
        <v>338</v>
      </c>
      <c r="B177" s="54" t="s">
        <v>16</v>
      </c>
      <c r="C177" s="54" t="s">
        <v>994</v>
      </c>
    </row>
    <row r="178">
      <c r="A178" s="54" t="s">
        <v>340</v>
      </c>
      <c r="B178" s="54" t="s">
        <v>38</v>
      </c>
      <c r="C178" s="54" t="s">
        <v>959</v>
      </c>
    </row>
    <row r="179">
      <c r="A179" s="54" t="s">
        <v>342</v>
      </c>
      <c r="B179" s="54" t="s">
        <v>64</v>
      </c>
      <c r="C179" s="54" t="s">
        <v>954</v>
      </c>
    </row>
    <row r="180">
      <c r="A180" s="54" t="s">
        <v>344</v>
      </c>
      <c r="B180" s="54" t="s">
        <v>22</v>
      </c>
      <c r="C180" s="54" t="s">
        <v>955</v>
      </c>
    </row>
    <row r="181">
      <c r="A181" s="54" t="s">
        <v>345</v>
      </c>
      <c r="B181" s="54" t="s">
        <v>22</v>
      </c>
      <c r="C181" s="54" t="s">
        <v>956</v>
      </c>
    </row>
    <row r="182">
      <c r="A182" s="54" t="s">
        <v>346</v>
      </c>
      <c r="B182" s="54" t="s">
        <v>16</v>
      </c>
      <c r="C182" s="54" t="s">
        <v>946</v>
      </c>
    </row>
    <row r="183">
      <c r="A183" s="54" t="s">
        <v>347</v>
      </c>
      <c r="B183" s="54" t="s">
        <v>56</v>
      </c>
      <c r="C183" s="54" t="s">
        <v>975</v>
      </c>
    </row>
    <row r="184">
      <c r="A184" s="54" t="s">
        <v>997</v>
      </c>
      <c r="B184" s="54" t="s">
        <v>111</v>
      </c>
      <c r="C184" s="54" t="s">
        <v>963</v>
      </c>
    </row>
    <row r="185">
      <c r="A185" s="54" t="s">
        <v>350</v>
      </c>
      <c r="B185" s="54" t="s">
        <v>22</v>
      </c>
      <c r="C185" s="54" t="s">
        <v>952</v>
      </c>
    </row>
    <row r="186">
      <c r="A186" s="54" t="s">
        <v>351</v>
      </c>
      <c r="B186" s="54" t="s">
        <v>16</v>
      </c>
      <c r="C186" s="54" t="s">
        <v>994</v>
      </c>
    </row>
    <row r="187">
      <c r="A187" s="54" t="s">
        <v>353</v>
      </c>
      <c r="B187" s="54" t="s">
        <v>42</v>
      </c>
      <c r="C187" s="54" t="s">
        <v>965</v>
      </c>
    </row>
    <row r="188">
      <c r="A188" s="54" t="s">
        <v>355</v>
      </c>
      <c r="B188" s="54" t="s">
        <v>72</v>
      </c>
      <c r="C188" s="54" t="s">
        <v>974</v>
      </c>
    </row>
    <row r="189">
      <c r="A189" s="54" t="s">
        <v>357</v>
      </c>
      <c r="B189" s="54" t="s">
        <v>16</v>
      </c>
      <c r="C189" s="54" t="s">
        <v>17</v>
      </c>
    </row>
    <row r="190">
      <c r="A190" s="54" t="s">
        <v>359</v>
      </c>
      <c r="B190" s="54" t="s">
        <v>46</v>
      </c>
      <c r="C190" s="54" t="s">
        <v>949</v>
      </c>
    </row>
    <row r="191">
      <c r="A191" s="54" t="s">
        <v>360</v>
      </c>
      <c r="B191" s="54" t="s">
        <v>46</v>
      </c>
      <c r="C191" s="54" t="s">
        <v>949</v>
      </c>
    </row>
    <row r="192">
      <c r="A192" s="54" t="s">
        <v>361</v>
      </c>
      <c r="B192" s="54" t="s">
        <v>217</v>
      </c>
      <c r="C192" s="54" t="s">
        <v>990</v>
      </c>
    </row>
    <row r="193">
      <c r="A193" s="54" t="s">
        <v>362</v>
      </c>
      <c r="B193" s="54" t="s">
        <v>64</v>
      </c>
      <c r="C193" s="54" t="s">
        <v>962</v>
      </c>
    </row>
    <row r="194">
      <c r="A194" s="54" t="s">
        <v>998</v>
      </c>
      <c r="B194" s="54" t="s">
        <v>64</v>
      </c>
      <c r="C194" s="54" t="s">
        <v>962</v>
      </c>
    </row>
    <row r="195">
      <c r="A195" s="54" t="s">
        <v>366</v>
      </c>
      <c r="B195" s="54" t="s">
        <v>72</v>
      </c>
      <c r="C195" s="54" t="s">
        <v>957</v>
      </c>
    </row>
    <row r="196">
      <c r="A196" s="54" t="s">
        <v>368</v>
      </c>
      <c r="B196" s="54" t="s">
        <v>217</v>
      </c>
      <c r="C196" s="54" t="s">
        <v>999</v>
      </c>
    </row>
    <row r="197">
      <c r="A197" s="54" t="s">
        <v>370</v>
      </c>
      <c r="B197" s="54" t="s">
        <v>38</v>
      </c>
      <c r="C197" s="54" t="s">
        <v>1000</v>
      </c>
    </row>
    <row r="198">
      <c r="A198" s="54" t="s">
        <v>371</v>
      </c>
      <c r="B198" s="54" t="s">
        <v>22</v>
      </c>
      <c r="C198" s="54" t="s">
        <v>952</v>
      </c>
    </row>
    <row r="199">
      <c r="A199" s="54" t="s">
        <v>372</v>
      </c>
      <c r="B199" s="54" t="s">
        <v>46</v>
      </c>
      <c r="C199" s="54" t="s">
        <v>968</v>
      </c>
    </row>
    <row r="200">
      <c r="A200" s="54" t="s">
        <v>374</v>
      </c>
      <c r="B200" s="54" t="s">
        <v>22</v>
      </c>
      <c r="C200" s="54" t="s">
        <v>960</v>
      </c>
    </row>
    <row r="201">
      <c r="A201" s="54" t="s">
        <v>376</v>
      </c>
      <c r="B201" s="54" t="s">
        <v>16</v>
      </c>
      <c r="C201" s="54" t="s">
        <v>972</v>
      </c>
    </row>
    <row r="202">
      <c r="A202" s="54" t="s">
        <v>377</v>
      </c>
      <c r="B202" s="54" t="s">
        <v>46</v>
      </c>
      <c r="C202" s="54" t="s">
        <v>958</v>
      </c>
    </row>
    <row r="203">
      <c r="A203" s="54" t="s">
        <v>379</v>
      </c>
      <c r="B203" s="54" t="s">
        <v>56</v>
      </c>
      <c r="C203" s="54" t="s">
        <v>1001</v>
      </c>
    </row>
    <row r="204">
      <c r="A204" s="54" t="s">
        <v>381</v>
      </c>
      <c r="B204" s="54" t="s">
        <v>56</v>
      </c>
      <c r="C204" s="54" t="s">
        <v>967</v>
      </c>
    </row>
    <row r="205">
      <c r="A205" s="54" t="s">
        <v>383</v>
      </c>
      <c r="B205" s="54" t="s">
        <v>16</v>
      </c>
      <c r="C205" s="54" t="s">
        <v>946</v>
      </c>
    </row>
    <row r="206">
      <c r="A206" s="54" t="s">
        <v>384</v>
      </c>
      <c r="B206" s="54" t="s">
        <v>46</v>
      </c>
      <c r="C206" s="54" t="s">
        <v>985</v>
      </c>
    </row>
    <row r="207">
      <c r="A207" s="54" t="s">
        <v>386</v>
      </c>
      <c r="B207" s="54" t="s">
        <v>56</v>
      </c>
      <c r="C207" s="54" t="s">
        <v>975</v>
      </c>
    </row>
    <row r="208">
      <c r="A208" s="54" t="s">
        <v>387</v>
      </c>
      <c r="B208" s="54" t="s">
        <v>56</v>
      </c>
      <c r="C208" s="54" t="s">
        <v>978</v>
      </c>
    </row>
    <row r="209">
      <c r="A209" s="54" t="s">
        <v>388</v>
      </c>
      <c r="B209" s="54" t="s">
        <v>72</v>
      </c>
      <c r="C209" s="54" t="s">
        <v>979</v>
      </c>
    </row>
    <row r="210">
      <c r="A210" s="54" t="s">
        <v>390</v>
      </c>
      <c r="B210" s="54" t="s">
        <v>16</v>
      </c>
      <c r="C210" s="54" t="s">
        <v>994</v>
      </c>
    </row>
    <row r="211">
      <c r="A211" s="54" t="s">
        <v>392</v>
      </c>
      <c r="B211" s="54" t="s">
        <v>46</v>
      </c>
      <c r="C211" s="54" t="s">
        <v>949</v>
      </c>
    </row>
    <row r="212">
      <c r="A212" s="54" t="s">
        <v>393</v>
      </c>
      <c r="B212" s="54" t="s">
        <v>56</v>
      </c>
      <c r="C212" s="54" t="s">
        <v>978</v>
      </c>
    </row>
    <row r="213">
      <c r="A213" s="54" t="s">
        <v>395</v>
      </c>
      <c r="B213" s="54" t="s">
        <v>16</v>
      </c>
      <c r="C213" s="54" t="s">
        <v>1002</v>
      </c>
    </row>
    <row r="214">
      <c r="A214" s="54" t="s">
        <v>396</v>
      </c>
      <c r="B214" s="54" t="s">
        <v>16</v>
      </c>
      <c r="C214" s="54" t="s">
        <v>966</v>
      </c>
    </row>
    <row r="215">
      <c r="A215" s="54" t="s">
        <v>397</v>
      </c>
      <c r="B215" s="54" t="s">
        <v>16</v>
      </c>
      <c r="C215" s="54" t="s">
        <v>29</v>
      </c>
    </row>
    <row r="216">
      <c r="A216" s="54" t="s">
        <v>398</v>
      </c>
      <c r="B216" s="54" t="s">
        <v>22</v>
      </c>
      <c r="C216" s="54" t="s">
        <v>952</v>
      </c>
    </row>
    <row r="217">
      <c r="A217" s="54" t="s">
        <v>400</v>
      </c>
      <c r="B217" s="54" t="s">
        <v>46</v>
      </c>
      <c r="C217" s="54" t="s">
        <v>985</v>
      </c>
    </row>
    <row r="218">
      <c r="A218" s="54" t="s">
        <v>402</v>
      </c>
      <c r="B218" s="54" t="s">
        <v>16</v>
      </c>
      <c r="C218" s="54" t="s">
        <v>29</v>
      </c>
    </row>
    <row r="219">
      <c r="A219" s="54" t="s">
        <v>404</v>
      </c>
      <c r="B219" s="54" t="s">
        <v>16</v>
      </c>
      <c r="C219" s="54" t="s">
        <v>29</v>
      </c>
    </row>
    <row r="220">
      <c r="A220" s="54" t="s">
        <v>406</v>
      </c>
      <c r="B220" s="54" t="s">
        <v>16</v>
      </c>
      <c r="C220" s="54" t="s">
        <v>946</v>
      </c>
    </row>
    <row r="221">
      <c r="A221" s="54" t="s">
        <v>408</v>
      </c>
      <c r="B221" s="54" t="s">
        <v>16</v>
      </c>
      <c r="C221" s="54" t="s">
        <v>994</v>
      </c>
    </row>
    <row r="222">
      <c r="A222" s="54" t="s">
        <v>409</v>
      </c>
      <c r="B222" s="54" t="s">
        <v>16</v>
      </c>
      <c r="C222" s="54" t="s">
        <v>29</v>
      </c>
    </row>
    <row r="223">
      <c r="A223" s="54" t="s">
        <v>410</v>
      </c>
      <c r="B223" s="54" t="s">
        <v>46</v>
      </c>
      <c r="C223" s="54" t="s">
        <v>949</v>
      </c>
    </row>
    <row r="224">
      <c r="A224" s="54" t="s">
        <v>412</v>
      </c>
      <c r="B224" s="54" t="s">
        <v>64</v>
      </c>
      <c r="C224" s="54" t="s">
        <v>1003</v>
      </c>
    </row>
    <row r="225">
      <c r="A225" s="54" t="s">
        <v>414</v>
      </c>
      <c r="B225" s="54" t="s">
        <v>217</v>
      </c>
      <c r="C225" s="54" t="s">
        <v>999</v>
      </c>
    </row>
    <row r="226">
      <c r="A226" s="54" t="s">
        <v>415</v>
      </c>
      <c r="B226" s="54" t="s">
        <v>38</v>
      </c>
      <c r="C226" s="54" t="s">
        <v>959</v>
      </c>
    </row>
    <row r="227">
      <c r="A227" s="54" t="s">
        <v>416</v>
      </c>
      <c r="B227" s="54" t="s">
        <v>22</v>
      </c>
      <c r="C227" s="54" t="s">
        <v>952</v>
      </c>
    </row>
    <row r="228">
      <c r="A228" s="54" t="s">
        <v>417</v>
      </c>
      <c r="B228" s="54" t="s">
        <v>16</v>
      </c>
      <c r="C228" s="54" t="s">
        <v>994</v>
      </c>
    </row>
    <row r="229">
      <c r="A229" s="54" t="s">
        <v>418</v>
      </c>
      <c r="B229" s="54" t="s">
        <v>22</v>
      </c>
      <c r="C229" s="54" t="s">
        <v>952</v>
      </c>
    </row>
    <row r="230">
      <c r="A230" s="54" t="s">
        <v>419</v>
      </c>
      <c r="B230" s="54" t="s">
        <v>56</v>
      </c>
      <c r="C230" s="54" t="s">
        <v>975</v>
      </c>
    </row>
    <row r="231">
      <c r="A231" s="54" t="s">
        <v>420</v>
      </c>
      <c r="B231" s="54" t="s">
        <v>56</v>
      </c>
      <c r="C231" s="54" t="s">
        <v>978</v>
      </c>
    </row>
    <row r="232">
      <c r="A232" s="54" t="s">
        <v>421</v>
      </c>
      <c r="B232" s="54" t="s">
        <v>46</v>
      </c>
      <c r="C232" s="54" t="s">
        <v>968</v>
      </c>
    </row>
    <row r="233">
      <c r="A233" s="54" t="s">
        <v>422</v>
      </c>
      <c r="B233" s="54" t="s">
        <v>22</v>
      </c>
      <c r="C233" s="54" t="s">
        <v>952</v>
      </c>
    </row>
    <row r="234">
      <c r="A234" s="54" t="s">
        <v>423</v>
      </c>
      <c r="B234" s="54" t="s">
        <v>56</v>
      </c>
      <c r="C234" s="54" t="s">
        <v>967</v>
      </c>
    </row>
    <row r="235">
      <c r="A235" s="54" t="s">
        <v>425</v>
      </c>
      <c r="B235" s="54" t="s">
        <v>38</v>
      </c>
      <c r="C235" s="54" t="s">
        <v>950</v>
      </c>
    </row>
    <row r="236">
      <c r="A236" s="54" t="s">
        <v>426</v>
      </c>
      <c r="B236" s="54" t="s">
        <v>64</v>
      </c>
      <c r="C236" s="54" t="s">
        <v>954</v>
      </c>
    </row>
    <row r="237">
      <c r="A237" s="54" t="s">
        <v>428</v>
      </c>
      <c r="B237" s="54" t="s">
        <v>46</v>
      </c>
      <c r="C237" s="54" t="s">
        <v>949</v>
      </c>
    </row>
    <row r="238">
      <c r="A238" s="54" t="s">
        <v>430</v>
      </c>
      <c r="B238" s="54" t="s">
        <v>46</v>
      </c>
      <c r="C238" s="54" t="s">
        <v>968</v>
      </c>
    </row>
    <row r="239">
      <c r="A239" s="54" t="s">
        <v>431</v>
      </c>
      <c r="B239" s="54" t="s">
        <v>56</v>
      </c>
      <c r="C239" s="54" t="s">
        <v>967</v>
      </c>
    </row>
    <row r="240">
      <c r="A240" s="54" t="s">
        <v>432</v>
      </c>
      <c r="B240" s="54" t="s">
        <v>22</v>
      </c>
      <c r="C240" s="54" t="s">
        <v>956</v>
      </c>
    </row>
    <row r="241">
      <c r="A241" s="54" t="s">
        <v>434</v>
      </c>
      <c r="B241" s="54" t="s">
        <v>46</v>
      </c>
      <c r="C241" s="54" t="s">
        <v>949</v>
      </c>
    </row>
    <row r="242">
      <c r="A242" s="54" t="s">
        <v>436</v>
      </c>
      <c r="B242" s="54" t="s">
        <v>42</v>
      </c>
      <c r="C242" s="54" t="s">
        <v>964</v>
      </c>
    </row>
    <row r="243">
      <c r="A243" s="54" t="s">
        <v>438</v>
      </c>
      <c r="B243" s="54" t="s">
        <v>46</v>
      </c>
      <c r="C243" s="54" t="s">
        <v>958</v>
      </c>
    </row>
    <row r="244">
      <c r="A244" s="54" t="s">
        <v>440</v>
      </c>
      <c r="B244" s="54" t="s">
        <v>46</v>
      </c>
      <c r="C244" s="54" t="s">
        <v>985</v>
      </c>
    </row>
    <row r="245">
      <c r="A245" s="54" t="s">
        <v>441</v>
      </c>
      <c r="B245" s="54" t="s">
        <v>22</v>
      </c>
      <c r="C245" s="54" t="s">
        <v>952</v>
      </c>
    </row>
    <row r="246">
      <c r="A246" s="54" t="s">
        <v>442</v>
      </c>
      <c r="B246" s="54" t="s">
        <v>22</v>
      </c>
      <c r="C246" s="54" t="s">
        <v>955</v>
      </c>
    </row>
    <row r="247">
      <c r="A247" s="54" t="s">
        <v>444</v>
      </c>
      <c r="B247" s="54" t="s">
        <v>42</v>
      </c>
      <c r="C247" s="54" t="s">
        <v>964</v>
      </c>
    </row>
    <row r="248">
      <c r="A248" s="54" t="s">
        <v>445</v>
      </c>
      <c r="B248" s="54" t="s">
        <v>22</v>
      </c>
      <c r="C248" s="54" t="s">
        <v>953</v>
      </c>
    </row>
    <row r="249">
      <c r="A249" s="54" t="s">
        <v>447</v>
      </c>
      <c r="B249" s="54" t="s">
        <v>16</v>
      </c>
      <c r="C249" s="54" t="s">
        <v>966</v>
      </c>
    </row>
    <row r="250">
      <c r="A250" s="54" t="s">
        <v>448</v>
      </c>
      <c r="B250" s="54" t="s">
        <v>46</v>
      </c>
      <c r="C250" s="54" t="s">
        <v>949</v>
      </c>
    </row>
    <row r="251">
      <c r="A251" s="54" t="s">
        <v>451</v>
      </c>
      <c r="B251" s="54" t="s">
        <v>42</v>
      </c>
      <c r="C251" s="54" t="s">
        <v>991</v>
      </c>
    </row>
    <row r="252">
      <c r="A252" s="54" t="s">
        <v>452</v>
      </c>
      <c r="B252" s="54" t="s">
        <v>22</v>
      </c>
      <c r="C252" s="54" t="s">
        <v>952</v>
      </c>
    </row>
    <row r="253">
      <c r="A253" s="54" t="s">
        <v>453</v>
      </c>
      <c r="B253" s="54" t="s">
        <v>46</v>
      </c>
      <c r="C253" s="54" t="s">
        <v>949</v>
      </c>
    </row>
    <row r="254">
      <c r="A254" s="54" t="s">
        <v>454</v>
      </c>
      <c r="B254" s="54" t="s">
        <v>38</v>
      </c>
      <c r="C254" s="54" t="s">
        <v>959</v>
      </c>
    </row>
    <row r="255">
      <c r="A255" s="54" t="s">
        <v>455</v>
      </c>
      <c r="B255" s="54" t="s">
        <v>38</v>
      </c>
      <c r="C255" s="54" t="s">
        <v>950</v>
      </c>
    </row>
    <row r="256">
      <c r="A256" s="54" t="s">
        <v>457</v>
      </c>
      <c r="B256" s="54" t="s">
        <v>38</v>
      </c>
      <c r="C256" s="54" t="s">
        <v>950</v>
      </c>
    </row>
    <row r="257">
      <c r="A257" s="54" t="s">
        <v>458</v>
      </c>
      <c r="B257" s="54" t="s">
        <v>56</v>
      </c>
      <c r="C257" s="54" t="s">
        <v>978</v>
      </c>
    </row>
    <row r="258">
      <c r="A258" s="54" t="s">
        <v>460</v>
      </c>
      <c r="B258" s="54" t="s">
        <v>22</v>
      </c>
      <c r="C258" s="54" t="s">
        <v>952</v>
      </c>
    </row>
    <row r="259">
      <c r="A259" s="54" t="s">
        <v>461</v>
      </c>
      <c r="B259" s="54" t="s">
        <v>16</v>
      </c>
      <c r="C259" s="54" t="s">
        <v>17</v>
      </c>
    </row>
    <row r="260">
      <c r="A260" s="54" t="s">
        <v>462</v>
      </c>
      <c r="B260" s="54" t="s">
        <v>46</v>
      </c>
      <c r="C260" s="54" t="s">
        <v>949</v>
      </c>
    </row>
    <row r="261">
      <c r="A261" s="54" t="s">
        <v>463</v>
      </c>
      <c r="B261" s="54" t="s">
        <v>64</v>
      </c>
      <c r="C261" s="54" t="s">
        <v>989</v>
      </c>
    </row>
    <row r="262">
      <c r="A262" s="54" t="s">
        <v>464</v>
      </c>
      <c r="B262" s="54" t="s">
        <v>16</v>
      </c>
      <c r="C262" s="54" t="s">
        <v>29</v>
      </c>
    </row>
    <row r="263">
      <c r="A263" s="54" t="s">
        <v>467</v>
      </c>
      <c r="B263" s="54" t="s">
        <v>46</v>
      </c>
      <c r="C263" s="54" t="s">
        <v>985</v>
      </c>
    </row>
    <row r="264">
      <c r="A264" s="54" t="s">
        <v>468</v>
      </c>
      <c r="B264" s="54" t="s">
        <v>111</v>
      </c>
      <c r="C264" s="54" t="s">
        <v>963</v>
      </c>
    </row>
    <row r="265">
      <c r="A265" s="54" t="s">
        <v>470</v>
      </c>
      <c r="B265" s="54" t="s">
        <v>16</v>
      </c>
      <c r="C265" s="54" t="s">
        <v>29</v>
      </c>
    </row>
    <row r="266">
      <c r="A266" s="54" t="s">
        <v>472</v>
      </c>
      <c r="B266" s="54" t="s">
        <v>22</v>
      </c>
      <c r="C266" s="54" t="s">
        <v>955</v>
      </c>
    </row>
    <row r="267">
      <c r="A267" s="54" t="s">
        <v>474</v>
      </c>
      <c r="B267" s="54" t="s">
        <v>16</v>
      </c>
      <c r="C267" s="54" t="s">
        <v>17</v>
      </c>
    </row>
    <row r="268">
      <c r="A268" s="54" t="s">
        <v>476</v>
      </c>
      <c r="B268" s="54" t="s">
        <v>220</v>
      </c>
      <c r="C268" s="54" t="s">
        <v>1004</v>
      </c>
    </row>
    <row r="269">
      <c r="A269" s="54" t="s">
        <v>478</v>
      </c>
      <c r="B269" s="54" t="s">
        <v>38</v>
      </c>
      <c r="C269" s="54" t="s">
        <v>950</v>
      </c>
    </row>
    <row r="270">
      <c r="A270" s="54" t="s">
        <v>479</v>
      </c>
      <c r="B270" s="54" t="s">
        <v>16</v>
      </c>
      <c r="C270" s="54" t="s">
        <v>29</v>
      </c>
    </row>
    <row r="271">
      <c r="A271" s="54" t="s">
        <v>480</v>
      </c>
      <c r="B271" s="54" t="s">
        <v>16</v>
      </c>
      <c r="C271" s="54" t="s">
        <v>29</v>
      </c>
    </row>
    <row r="272">
      <c r="A272" s="54" t="s">
        <v>482</v>
      </c>
      <c r="B272" s="54" t="s">
        <v>56</v>
      </c>
      <c r="C272" s="54" t="s">
        <v>967</v>
      </c>
    </row>
    <row r="273">
      <c r="A273" s="54" t="s">
        <v>484</v>
      </c>
      <c r="B273" s="54" t="s">
        <v>56</v>
      </c>
      <c r="C273" s="54" t="s">
        <v>1005</v>
      </c>
    </row>
    <row r="274">
      <c r="A274" s="54" t="s">
        <v>485</v>
      </c>
      <c r="B274" s="54" t="s">
        <v>46</v>
      </c>
      <c r="C274" s="54" t="s">
        <v>968</v>
      </c>
    </row>
    <row r="275">
      <c r="A275" s="54" t="s">
        <v>487</v>
      </c>
      <c r="B275" s="54" t="s">
        <v>72</v>
      </c>
      <c r="C275" s="54" t="s">
        <v>979</v>
      </c>
    </row>
    <row r="276">
      <c r="A276" s="54" t="s">
        <v>489</v>
      </c>
      <c r="B276" s="54" t="s">
        <v>16</v>
      </c>
      <c r="C276" s="54" t="s">
        <v>946</v>
      </c>
    </row>
    <row r="277">
      <c r="A277" s="54" t="s">
        <v>491</v>
      </c>
      <c r="B277" s="54" t="s">
        <v>111</v>
      </c>
      <c r="C277" s="54" t="s">
        <v>963</v>
      </c>
    </row>
    <row r="278">
      <c r="A278" s="54" t="s">
        <v>493</v>
      </c>
      <c r="B278" s="54" t="s">
        <v>46</v>
      </c>
      <c r="C278" s="54" t="s">
        <v>968</v>
      </c>
    </row>
    <row r="279">
      <c r="A279" s="54" t="s">
        <v>495</v>
      </c>
      <c r="B279" s="54" t="s">
        <v>38</v>
      </c>
      <c r="C279" s="54" t="s">
        <v>959</v>
      </c>
    </row>
    <row r="280">
      <c r="A280" s="54" t="s">
        <v>496</v>
      </c>
      <c r="B280" s="54" t="s">
        <v>56</v>
      </c>
      <c r="C280" s="54" t="s">
        <v>1001</v>
      </c>
    </row>
    <row r="281">
      <c r="A281" s="54" t="s">
        <v>497</v>
      </c>
      <c r="B281" s="54" t="s">
        <v>46</v>
      </c>
      <c r="C281" s="54" t="s">
        <v>949</v>
      </c>
    </row>
    <row r="282">
      <c r="A282" s="54" t="s">
        <v>498</v>
      </c>
      <c r="B282" s="54" t="s">
        <v>46</v>
      </c>
      <c r="C282" s="54" t="s">
        <v>949</v>
      </c>
    </row>
    <row r="283">
      <c r="A283" s="54" t="s">
        <v>499</v>
      </c>
      <c r="B283" s="54" t="s">
        <v>42</v>
      </c>
      <c r="C283" s="54" t="s">
        <v>965</v>
      </c>
    </row>
    <row r="284">
      <c r="A284" s="54" t="s">
        <v>500</v>
      </c>
      <c r="B284" s="54" t="s">
        <v>16</v>
      </c>
      <c r="C284" s="54" t="s">
        <v>972</v>
      </c>
    </row>
    <row r="285">
      <c r="A285" s="54" t="s">
        <v>1006</v>
      </c>
      <c r="B285" s="54" t="s">
        <v>111</v>
      </c>
      <c r="C285" s="54" t="s">
        <v>963</v>
      </c>
    </row>
    <row r="286">
      <c r="A286" s="54" t="s">
        <v>503</v>
      </c>
      <c r="B286" s="54" t="s">
        <v>22</v>
      </c>
      <c r="C286" s="54" t="s">
        <v>952</v>
      </c>
    </row>
    <row r="287">
      <c r="A287" s="54" t="s">
        <v>505</v>
      </c>
      <c r="B287" s="54" t="s">
        <v>42</v>
      </c>
      <c r="C287" s="54" t="s">
        <v>947</v>
      </c>
    </row>
    <row r="288">
      <c r="A288" s="54" t="s">
        <v>507</v>
      </c>
      <c r="B288" s="54" t="s">
        <v>38</v>
      </c>
      <c r="C288" s="54" t="s">
        <v>1000</v>
      </c>
    </row>
    <row r="289">
      <c r="A289" s="54" t="s">
        <v>508</v>
      </c>
      <c r="B289" s="54" t="s">
        <v>46</v>
      </c>
      <c r="C289" s="54" t="s">
        <v>958</v>
      </c>
    </row>
    <row r="290">
      <c r="A290" s="54" t="s">
        <v>509</v>
      </c>
      <c r="B290" s="54" t="s">
        <v>38</v>
      </c>
      <c r="C290" s="54" t="s">
        <v>950</v>
      </c>
    </row>
    <row r="291">
      <c r="A291" s="54" t="s">
        <v>511</v>
      </c>
      <c r="B291" s="54" t="s">
        <v>111</v>
      </c>
      <c r="C291" s="54" t="s">
        <v>963</v>
      </c>
    </row>
    <row r="292">
      <c r="A292" s="54" t="s">
        <v>512</v>
      </c>
      <c r="B292" s="54" t="s">
        <v>111</v>
      </c>
      <c r="C292" s="54" t="s">
        <v>963</v>
      </c>
    </row>
    <row r="293">
      <c r="A293" s="54" t="s">
        <v>513</v>
      </c>
      <c r="B293" s="54" t="s">
        <v>46</v>
      </c>
      <c r="C293" s="54" t="s">
        <v>958</v>
      </c>
    </row>
    <row r="294">
      <c r="A294" s="54" t="s">
        <v>515</v>
      </c>
      <c r="B294" s="54" t="s">
        <v>64</v>
      </c>
      <c r="C294" s="54" t="s">
        <v>989</v>
      </c>
    </row>
    <row r="295">
      <c r="A295" s="54" t="s">
        <v>517</v>
      </c>
      <c r="B295" s="54" t="s">
        <v>42</v>
      </c>
      <c r="C295" s="54" t="s">
        <v>964</v>
      </c>
    </row>
    <row r="296">
      <c r="A296" s="54" t="s">
        <v>519</v>
      </c>
      <c r="B296" s="54" t="s">
        <v>22</v>
      </c>
      <c r="C296" s="54" t="s">
        <v>988</v>
      </c>
    </row>
    <row r="297">
      <c r="A297" s="54" t="s">
        <v>520</v>
      </c>
      <c r="B297" s="54" t="s">
        <v>22</v>
      </c>
      <c r="C297" s="54" t="s">
        <v>952</v>
      </c>
    </row>
    <row r="298">
      <c r="A298" s="54" t="s">
        <v>522</v>
      </c>
      <c r="B298" s="54" t="s">
        <v>22</v>
      </c>
      <c r="C298" s="54" t="s">
        <v>952</v>
      </c>
    </row>
    <row r="299">
      <c r="A299" s="54" t="s">
        <v>523</v>
      </c>
      <c r="B299" s="54" t="s">
        <v>42</v>
      </c>
      <c r="C299" s="54" t="s">
        <v>947</v>
      </c>
    </row>
    <row r="300">
      <c r="A300" s="54" t="s">
        <v>524</v>
      </c>
      <c r="B300" s="54" t="s">
        <v>38</v>
      </c>
      <c r="C300" s="54" t="s">
        <v>959</v>
      </c>
    </row>
    <row r="301">
      <c r="A301" s="54" t="s">
        <v>525</v>
      </c>
      <c r="B301" s="54" t="s">
        <v>72</v>
      </c>
      <c r="C301" s="54" t="s">
        <v>979</v>
      </c>
    </row>
    <row r="302">
      <c r="A302" s="54" t="s">
        <v>527</v>
      </c>
      <c r="B302" s="54" t="s">
        <v>22</v>
      </c>
      <c r="C302" s="54" t="s">
        <v>988</v>
      </c>
    </row>
    <row r="303">
      <c r="A303" s="54" t="s">
        <v>528</v>
      </c>
      <c r="B303" s="54" t="s">
        <v>56</v>
      </c>
      <c r="C303" s="54" t="s">
        <v>967</v>
      </c>
    </row>
    <row r="304">
      <c r="A304" s="54" t="s">
        <v>530</v>
      </c>
      <c r="B304" s="54" t="s">
        <v>22</v>
      </c>
      <c r="C304" s="54" t="s">
        <v>988</v>
      </c>
    </row>
    <row r="305">
      <c r="A305" s="54" t="s">
        <v>531</v>
      </c>
      <c r="B305" s="54" t="s">
        <v>111</v>
      </c>
      <c r="C305" s="54" t="s">
        <v>963</v>
      </c>
    </row>
    <row r="306">
      <c r="A306" s="54" t="s">
        <v>532</v>
      </c>
      <c r="B306" s="54" t="s">
        <v>56</v>
      </c>
      <c r="C306" s="54" t="s">
        <v>1001</v>
      </c>
    </row>
    <row r="307">
      <c r="A307" s="54" t="s">
        <v>533</v>
      </c>
      <c r="B307" s="54" t="s">
        <v>111</v>
      </c>
      <c r="C307" s="54" t="s">
        <v>963</v>
      </c>
    </row>
    <row r="308">
      <c r="A308" s="54" t="s">
        <v>534</v>
      </c>
      <c r="B308" s="54" t="s">
        <v>64</v>
      </c>
      <c r="C308" s="54" t="s">
        <v>954</v>
      </c>
    </row>
    <row r="309">
      <c r="A309" s="54" t="s">
        <v>535</v>
      </c>
      <c r="B309" s="54" t="s">
        <v>46</v>
      </c>
      <c r="C309" s="54" t="s">
        <v>968</v>
      </c>
    </row>
    <row r="310">
      <c r="A310" s="54" t="s">
        <v>536</v>
      </c>
      <c r="B310" s="54" t="s">
        <v>46</v>
      </c>
      <c r="C310" s="54" t="s">
        <v>958</v>
      </c>
    </row>
    <row r="311">
      <c r="A311" s="54" t="s">
        <v>537</v>
      </c>
      <c r="B311" s="54" t="s">
        <v>56</v>
      </c>
      <c r="C311" s="54" t="s">
        <v>967</v>
      </c>
    </row>
    <row r="312">
      <c r="A312" s="54" t="s">
        <v>538</v>
      </c>
      <c r="B312" s="54" t="s">
        <v>46</v>
      </c>
      <c r="C312" s="54" t="s">
        <v>949</v>
      </c>
    </row>
    <row r="313">
      <c r="A313" s="54" t="s">
        <v>541</v>
      </c>
      <c r="B313" s="54" t="s">
        <v>46</v>
      </c>
      <c r="C313" s="54" t="s">
        <v>949</v>
      </c>
    </row>
    <row r="314">
      <c r="A314" s="54" t="s">
        <v>543</v>
      </c>
      <c r="B314" s="54" t="s">
        <v>22</v>
      </c>
      <c r="C314" s="54" t="s">
        <v>960</v>
      </c>
    </row>
    <row r="315">
      <c r="A315" s="54" t="s">
        <v>545</v>
      </c>
      <c r="B315" s="54" t="s">
        <v>22</v>
      </c>
      <c r="C315" s="54" t="s">
        <v>971</v>
      </c>
    </row>
    <row r="316">
      <c r="A316" s="54" t="s">
        <v>546</v>
      </c>
      <c r="B316" s="54" t="s">
        <v>64</v>
      </c>
      <c r="C316" s="54" t="s">
        <v>1007</v>
      </c>
    </row>
    <row r="317">
      <c r="A317" s="54" t="s">
        <v>547</v>
      </c>
      <c r="B317" s="54" t="s">
        <v>22</v>
      </c>
      <c r="C317" s="54" t="s">
        <v>952</v>
      </c>
    </row>
    <row r="318">
      <c r="A318" s="54" t="s">
        <v>549</v>
      </c>
      <c r="B318" s="54" t="s">
        <v>56</v>
      </c>
      <c r="C318" s="54" t="s">
        <v>975</v>
      </c>
    </row>
    <row r="319">
      <c r="A319" s="54" t="s">
        <v>550</v>
      </c>
      <c r="B319" s="54" t="s">
        <v>16</v>
      </c>
      <c r="C319" s="54" t="s">
        <v>977</v>
      </c>
    </row>
    <row r="320">
      <c r="A320" s="54" t="s">
        <v>552</v>
      </c>
      <c r="B320" s="54" t="s">
        <v>42</v>
      </c>
      <c r="C320" s="54" t="s">
        <v>991</v>
      </c>
    </row>
    <row r="321">
      <c r="A321" s="54" t="s">
        <v>1008</v>
      </c>
      <c r="B321" s="54" t="s">
        <v>16</v>
      </c>
      <c r="C321" s="54" t="s">
        <v>946</v>
      </c>
    </row>
    <row r="322">
      <c r="A322" s="54" t="s">
        <v>556</v>
      </c>
      <c r="B322" s="54" t="s">
        <v>56</v>
      </c>
      <c r="C322" s="54" t="s">
        <v>967</v>
      </c>
    </row>
    <row r="323">
      <c r="A323" s="54" t="s">
        <v>557</v>
      </c>
      <c r="B323" s="54" t="s">
        <v>46</v>
      </c>
      <c r="C323" s="54" t="s">
        <v>958</v>
      </c>
    </row>
    <row r="324">
      <c r="A324" s="54" t="s">
        <v>559</v>
      </c>
      <c r="B324" s="54" t="s">
        <v>38</v>
      </c>
      <c r="C324" s="54" t="s">
        <v>950</v>
      </c>
    </row>
    <row r="325">
      <c r="A325" s="54" t="s">
        <v>560</v>
      </c>
      <c r="B325" s="54" t="s">
        <v>16</v>
      </c>
      <c r="C325" s="54" t="s">
        <v>966</v>
      </c>
    </row>
    <row r="326">
      <c r="A326" s="54" t="s">
        <v>561</v>
      </c>
      <c r="B326" s="54" t="s">
        <v>56</v>
      </c>
      <c r="C326" s="54" t="s">
        <v>967</v>
      </c>
    </row>
    <row r="327">
      <c r="A327" s="54" t="s">
        <v>562</v>
      </c>
      <c r="B327" s="54" t="s">
        <v>46</v>
      </c>
      <c r="C327" s="54" t="s">
        <v>968</v>
      </c>
    </row>
    <row r="328">
      <c r="A328" s="54" t="s">
        <v>563</v>
      </c>
      <c r="B328" s="54" t="s">
        <v>22</v>
      </c>
      <c r="C328" s="54" t="s">
        <v>952</v>
      </c>
    </row>
    <row r="329">
      <c r="A329" s="54" t="s">
        <v>564</v>
      </c>
      <c r="B329" s="54" t="s">
        <v>22</v>
      </c>
      <c r="C329" s="54" t="s">
        <v>952</v>
      </c>
    </row>
    <row r="330">
      <c r="A330" s="54" t="s">
        <v>566</v>
      </c>
      <c r="B330" s="54" t="s">
        <v>46</v>
      </c>
      <c r="C330" s="54" t="s">
        <v>949</v>
      </c>
    </row>
    <row r="331">
      <c r="A331" s="54" t="s">
        <v>568</v>
      </c>
      <c r="B331" s="54" t="s">
        <v>16</v>
      </c>
      <c r="C331" s="54" t="s">
        <v>994</v>
      </c>
    </row>
    <row r="332">
      <c r="A332" s="54" t="s">
        <v>570</v>
      </c>
      <c r="B332" s="54" t="s">
        <v>72</v>
      </c>
      <c r="C332" s="54" t="s">
        <v>995</v>
      </c>
    </row>
    <row r="333">
      <c r="A333" s="54" t="s">
        <v>571</v>
      </c>
      <c r="B333" s="54" t="s">
        <v>22</v>
      </c>
      <c r="C333" s="54" t="s">
        <v>952</v>
      </c>
    </row>
    <row r="334">
      <c r="A334" s="54" t="s">
        <v>573</v>
      </c>
      <c r="B334" s="54" t="s">
        <v>46</v>
      </c>
      <c r="C334" s="54" t="s">
        <v>949</v>
      </c>
    </row>
    <row r="335">
      <c r="A335" s="54" t="s">
        <v>575</v>
      </c>
      <c r="B335" s="54" t="s">
        <v>22</v>
      </c>
      <c r="C335" s="54" t="s">
        <v>952</v>
      </c>
    </row>
    <row r="336">
      <c r="A336" s="54" t="s">
        <v>576</v>
      </c>
      <c r="B336" s="54" t="s">
        <v>16</v>
      </c>
      <c r="C336" s="54" t="s">
        <v>946</v>
      </c>
    </row>
    <row r="337">
      <c r="A337" s="54" t="s">
        <v>578</v>
      </c>
      <c r="B337" s="54" t="s">
        <v>42</v>
      </c>
      <c r="C337" s="54" t="s">
        <v>965</v>
      </c>
    </row>
    <row r="338">
      <c r="A338" s="54" t="s">
        <v>579</v>
      </c>
      <c r="B338" s="54" t="s">
        <v>38</v>
      </c>
      <c r="C338" s="54" t="s">
        <v>950</v>
      </c>
    </row>
    <row r="339">
      <c r="A339" s="54" t="s">
        <v>581</v>
      </c>
      <c r="B339" s="54" t="s">
        <v>42</v>
      </c>
      <c r="C339" s="54" t="s">
        <v>965</v>
      </c>
    </row>
    <row r="340">
      <c r="A340" s="54" t="s">
        <v>582</v>
      </c>
      <c r="B340" s="54" t="s">
        <v>72</v>
      </c>
      <c r="C340" s="54" t="s">
        <v>974</v>
      </c>
    </row>
    <row r="341">
      <c r="A341" s="54" t="s">
        <v>584</v>
      </c>
      <c r="B341" s="54" t="s">
        <v>111</v>
      </c>
      <c r="C341" s="54" t="s">
        <v>963</v>
      </c>
    </row>
    <row r="342">
      <c r="A342" s="54" t="s">
        <v>585</v>
      </c>
      <c r="B342" s="54" t="s">
        <v>111</v>
      </c>
      <c r="C342" s="54" t="s">
        <v>963</v>
      </c>
    </row>
    <row r="343">
      <c r="A343" s="54" t="s">
        <v>586</v>
      </c>
      <c r="B343" s="54" t="s">
        <v>22</v>
      </c>
      <c r="C343" s="54" t="s">
        <v>1009</v>
      </c>
    </row>
    <row r="344">
      <c r="A344" s="54" t="s">
        <v>588</v>
      </c>
      <c r="B344" s="54" t="s">
        <v>56</v>
      </c>
      <c r="C344" s="54" t="s">
        <v>973</v>
      </c>
    </row>
    <row r="345">
      <c r="A345" s="54" t="s">
        <v>590</v>
      </c>
      <c r="B345" s="54" t="s">
        <v>16</v>
      </c>
      <c r="C345" s="54" t="s">
        <v>29</v>
      </c>
    </row>
    <row r="346">
      <c r="A346" s="54" t="s">
        <v>591</v>
      </c>
      <c r="B346" s="54" t="s">
        <v>46</v>
      </c>
      <c r="C346" s="54" t="s">
        <v>949</v>
      </c>
    </row>
    <row r="347">
      <c r="A347" s="54" t="s">
        <v>592</v>
      </c>
      <c r="B347" s="54" t="s">
        <v>22</v>
      </c>
      <c r="C347" s="54" t="s">
        <v>952</v>
      </c>
    </row>
    <row r="348">
      <c r="A348" s="54" t="s">
        <v>593</v>
      </c>
      <c r="B348" s="54" t="s">
        <v>111</v>
      </c>
      <c r="C348" s="54" t="s">
        <v>963</v>
      </c>
    </row>
    <row r="349">
      <c r="A349" s="54" t="s">
        <v>595</v>
      </c>
      <c r="B349" s="54" t="s">
        <v>46</v>
      </c>
      <c r="C349" s="54" t="s">
        <v>949</v>
      </c>
    </row>
    <row r="350">
      <c r="A350" s="54" t="s">
        <v>596</v>
      </c>
      <c r="B350" s="54" t="s">
        <v>46</v>
      </c>
      <c r="C350" s="54" t="s">
        <v>968</v>
      </c>
    </row>
    <row r="351">
      <c r="A351" s="54" t="s">
        <v>597</v>
      </c>
      <c r="B351" s="54" t="s">
        <v>46</v>
      </c>
      <c r="C351" s="54" t="s">
        <v>949</v>
      </c>
    </row>
    <row r="352">
      <c r="A352" s="54" t="s">
        <v>599</v>
      </c>
      <c r="B352" s="54" t="s">
        <v>22</v>
      </c>
      <c r="C352" s="54" t="s">
        <v>970</v>
      </c>
    </row>
    <row r="353">
      <c r="A353" s="54" t="s">
        <v>600</v>
      </c>
      <c r="B353" s="54" t="s">
        <v>38</v>
      </c>
      <c r="C353" s="54" t="s">
        <v>39</v>
      </c>
    </row>
    <row r="354">
      <c r="A354" s="54" t="s">
        <v>601</v>
      </c>
      <c r="B354" s="54" t="s">
        <v>42</v>
      </c>
      <c r="C354" s="54" t="s">
        <v>965</v>
      </c>
    </row>
    <row r="355">
      <c r="A355" s="54" t="s">
        <v>603</v>
      </c>
      <c r="B355" s="54" t="s">
        <v>56</v>
      </c>
      <c r="C355" s="54" t="s">
        <v>975</v>
      </c>
    </row>
    <row r="356">
      <c r="A356" s="54" t="s">
        <v>604</v>
      </c>
      <c r="B356" s="54" t="s">
        <v>64</v>
      </c>
      <c r="C356" s="54" t="s">
        <v>1003</v>
      </c>
    </row>
    <row r="357">
      <c r="A357" s="54" t="s">
        <v>606</v>
      </c>
      <c r="B357" s="54" t="s">
        <v>56</v>
      </c>
      <c r="C357" s="54" t="s">
        <v>967</v>
      </c>
    </row>
    <row r="358">
      <c r="A358" s="54" t="s">
        <v>607</v>
      </c>
      <c r="B358" s="54" t="s">
        <v>111</v>
      </c>
      <c r="C358" s="54" t="s">
        <v>963</v>
      </c>
    </row>
    <row r="359">
      <c r="A359" s="54" t="s">
        <v>609</v>
      </c>
      <c r="B359" s="54" t="s">
        <v>38</v>
      </c>
      <c r="C359" s="54" t="s">
        <v>950</v>
      </c>
    </row>
    <row r="360">
      <c r="A360" s="54" t="s">
        <v>610</v>
      </c>
      <c r="B360" s="54" t="s">
        <v>22</v>
      </c>
      <c r="C360" s="54" t="s">
        <v>952</v>
      </c>
    </row>
    <row r="361">
      <c r="A361" s="54" t="s">
        <v>611</v>
      </c>
      <c r="B361" s="54" t="s">
        <v>22</v>
      </c>
      <c r="C361" s="54" t="s">
        <v>952</v>
      </c>
    </row>
    <row r="362">
      <c r="A362" s="54" t="s">
        <v>612</v>
      </c>
      <c r="B362" s="54" t="s">
        <v>22</v>
      </c>
      <c r="C362" s="54" t="s">
        <v>960</v>
      </c>
    </row>
    <row r="363">
      <c r="A363" s="54" t="s">
        <v>613</v>
      </c>
      <c r="B363" s="54" t="s">
        <v>46</v>
      </c>
      <c r="C363" s="54" t="s">
        <v>949</v>
      </c>
    </row>
    <row r="364">
      <c r="A364" s="54" t="s">
        <v>615</v>
      </c>
      <c r="B364" s="54" t="s">
        <v>46</v>
      </c>
      <c r="C364" s="54" t="s">
        <v>949</v>
      </c>
    </row>
    <row r="365">
      <c r="A365" s="54" t="s">
        <v>617</v>
      </c>
      <c r="B365" s="54" t="s">
        <v>111</v>
      </c>
      <c r="C365" s="54" t="s">
        <v>963</v>
      </c>
    </row>
    <row r="366">
      <c r="A366" s="54" t="s">
        <v>618</v>
      </c>
      <c r="B366" s="54" t="s">
        <v>38</v>
      </c>
      <c r="C366" s="54" t="s">
        <v>987</v>
      </c>
    </row>
    <row r="367">
      <c r="A367" s="54" t="s">
        <v>620</v>
      </c>
      <c r="B367" s="54" t="s">
        <v>22</v>
      </c>
      <c r="C367" s="54" t="s">
        <v>952</v>
      </c>
    </row>
    <row r="368">
      <c r="A368" s="54" t="s">
        <v>622</v>
      </c>
      <c r="B368" s="54" t="s">
        <v>46</v>
      </c>
      <c r="C368" s="54" t="s">
        <v>949</v>
      </c>
    </row>
    <row r="369">
      <c r="A369" s="54" t="s">
        <v>623</v>
      </c>
      <c r="B369" s="54" t="s">
        <v>16</v>
      </c>
      <c r="C369" s="54" t="s">
        <v>972</v>
      </c>
    </row>
    <row r="370">
      <c r="A370" s="54" t="s">
        <v>624</v>
      </c>
      <c r="B370" s="54" t="s">
        <v>46</v>
      </c>
      <c r="C370" s="54" t="s">
        <v>985</v>
      </c>
    </row>
    <row r="371">
      <c r="A371" s="54" t="s">
        <v>625</v>
      </c>
      <c r="B371" s="54" t="s">
        <v>56</v>
      </c>
      <c r="C371" s="54" t="s">
        <v>975</v>
      </c>
    </row>
    <row r="372">
      <c r="A372" s="54" t="s">
        <v>627</v>
      </c>
      <c r="B372" s="54" t="s">
        <v>22</v>
      </c>
      <c r="C372" s="54" t="s">
        <v>953</v>
      </c>
    </row>
    <row r="373">
      <c r="A373" s="54" t="s">
        <v>628</v>
      </c>
      <c r="B373" s="54" t="s">
        <v>22</v>
      </c>
      <c r="C373" s="54" t="s">
        <v>1010</v>
      </c>
    </row>
    <row r="374">
      <c r="A374" s="54" t="s">
        <v>629</v>
      </c>
      <c r="B374" s="54" t="s">
        <v>46</v>
      </c>
      <c r="C374" s="54" t="s">
        <v>968</v>
      </c>
    </row>
    <row r="375">
      <c r="A375" s="54" t="s">
        <v>631</v>
      </c>
      <c r="B375" s="54" t="s">
        <v>111</v>
      </c>
      <c r="C375" s="54" t="s">
        <v>963</v>
      </c>
    </row>
    <row r="376">
      <c r="A376" s="54" t="s">
        <v>632</v>
      </c>
      <c r="B376" s="54" t="s">
        <v>16</v>
      </c>
      <c r="C376" s="54" t="s">
        <v>29</v>
      </c>
    </row>
    <row r="377">
      <c r="A377" s="54" t="s">
        <v>634</v>
      </c>
      <c r="B377" s="54" t="s">
        <v>56</v>
      </c>
      <c r="C377" s="54" t="s">
        <v>967</v>
      </c>
    </row>
    <row r="378">
      <c r="A378" s="54" t="s">
        <v>635</v>
      </c>
      <c r="B378" s="54" t="s">
        <v>16</v>
      </c>
      <c r="C378" s="54" t="s">
        <v>946</v>
      </c>
    </row>
    <row r="379">
      <c r="A379" s="54" t="s">
        <v>637</v>
      </c>
      <c r="B379" s="54" t="s">
        <v>46</v>
      </c>
      <c r="C379" s="54" t="s">
        <v>958</v>
      </c>
    </row>
    <row r="380">
      <c r="A380" s="54" t="s">
        <v>639</v>
      </c>
      <c r="B380" s="54" t="s">
        <v>46</v>
      </c>
      <c r="C380" s="54" t="s">
        <v>949</v>
      </c>
    </row>
    <row r="381">
      <c r="A381" s="54" t="s">
        <v>641</v>
      </c>
      <c r="B381" s="54" t="s">
        <v>16</v>
      </c>
      <c r="C381" s="54" t="s">
        <v>994</v>
      </c>
    </row>
    <row r="382">
      <c r="A382" s="54" t="s">
        <v>643</v>
      </c>
      <c r="B382" s="54" t="s">
        <v>22</v>
      </c>
      <c r="C382" s="54" t="s">
        <v>960</v>
      </c>
    </row>
    <row r="383">
      <c r="A383" s="54" t="s">
        <v>644</v>
      </c>
      <c r="B383" s="54" t="s">
        <v>16</v>
      </c>
      <c r="C383" s="54" t="s">
        <v>29</v>
      </c>
    </row>
    <row r="384">
      <c r="A384" s="54" t="s">
        <v>645</v>
      </c>
      <c r="B384" s="54" t="s">
        <v>22</v>
      </c>
      <c r="C384" s="54" t="s">
        <v>960</v>
      </c>
    </row>
    <row r="385">
      <c r="A385" s="54" t="s">
        <v>646</v>
      </c>
      <c r="B385" s="54" t="s">
        <v>46</v>
      </c>
      <c r="C385" s="54" t="s">
        <v>958</v>
      </c>
    </row>
    <row r="386">
      <c r="A386" s="54" t="s">
        <v>648</v>
      </c>
      <c r="B386" s="54" t="s">
        <v>16</v>
      </c>
      <c r="C386" s="54" t="s">
        <v>946</v>
      </c>
    </row>
    <row r="387">
      <c r="A387" s="54" t="s">
        <v>650</v>
      </c>
      <c r="B387" s="54" t="s">
        <v>217</v>
      </c>
      <c r="C387" s="54" t="s">
        <v>990</v>
      </c>
    </row>
    <row r="388">
      <c r="A388" s="54" t="s">
        <v>651</v>
      </c>
      <c r="B388" s="54" t="s">
        <v>64</v>
      </c>
      <c r="C388" s="54" t="s">
        <v>962</v>
      </c>
    </row>
    <row r="389">
      <c r="A389" s="54" t="s">
        <v>653</v>
      </c>
      <c r="B389" s="54" t="s">
        <v>42</v>
      </c>
      <c r="C389" s="54" t="s">
        <v>965</v>
      </c>
    </row>
    <row r="390">
      <c r="A390" s="54" t="s">
        <v>655</v>
      </c>
      <c r="B390" s="54" t="s">
        <v>22</v>
      </c>
      <c r="C390" s="54" t="s">
        <v>952</v>
      </c>
    </row>
    <row r="391">
      <c r="A391" s="54" t="s">
        <v>657</v>
      </c>
      <c r="B391" s="54" t="s">
        <v>46</v>
      </c>
      <c r="C391" s="54" t="s">
        <v>958</v>
      </c>
    </row>
    <row r="392">
      <c r="A392" s="54" t="s">
        <v>659</v>
      </c>
      <c r="B392" s="54" t="s">
        <v>46</v>
      </c>
      <c r="C392" s="54" t="s">
        <v>958</v>
      </c>
    </row>
    <row r="393">
      <c r="A393" s="54" t="s">
        <v>660</v>
      </c>
      <c r="B393" s="54" t="s">
        <v>22</v>
      </c>
      <c r="C393" s="54" t="s">
        <v>952</v>
      </c>
    </row>
    <row r="394">
      <c r="A394" s="54" t="s">
        <v>662</v>
      </c>
      <c r="B394" s="54" t="s">
        <v>22</v>
      </c>
      <c r="C394" s="54" t="s">
        <v>956</v>
      </c>
    </row>
    <row r="395">
      <c r="A395" s="54" t="s">
        <v>663</v>
      </c>
      <c r="B395" s="54" t="s">
        <v>46</v>
      </c>
      <c r="C395" s="54" t="s">
        <v>949</v>
      </c>
    </row>
    <row r="396">
      <c r="A396" s="54" t="s">
        <v>664</v>
      </c>
      <c r="B396" s="54" t="s">
        <v>22</v>
      </c>
      <c r="C396" s="54" t="s">
        <v>960</v>
      </c>
    </row>
    <row r="397">
      <c r="A397" s="54" t="s">
        <v>666</v>
      </c>
      <c r="B397" s="54" t="s">
        <v>64</v>
      </c>
      <c r="C397" s="54" t="s">
        <v>980</v>
      </c>
    </row>
    <row r="398">
      <c r="A398" s="54" t="s">
        <v>667</v>
      </c>
      <c r="B398" s="54" t="s">
        <v>42</v>
      </c>
      <c r="C398" s="54" t="s">
        <v>947</v>
      </c>
    </row>
    <row r="399">
      <c r="A399" s="54" t="s">
        <v>669</v>
      </c>
      <c r="B399" s="54" t="s">
        <v>46</v>
      </c>
      <c r="C399" s="54" t="s">
        <v>985</v>
      </c>
    </row>
    <row r="400">
      <c r="A400" s="54" t="s">
        <v>671</v>
      </c>
      <c r="B400" s="54" t="s">
        <v>56</v>
      </c>
      <c r="C400" s="54" t="s">
        <v>967</v>
      </c>
    </row>
    <row r="401">
      <c r="A401" s="54" t="s">
        <v>672</v>
      </c>
      <c r="B401" s="54" t="s">
        <v>22</v>
      </c>
      <c r="C401" s="54" t="s">
        <v>952</v>
      </c>
    </row>
    <row r="402">
      <c r="A402" s="54" t="s">
        <v>673</v>
      </c>
      <c r="B402" s="54" t="s">
        <v>56</v>
      </c>
      <c r="C402" s="54" t="s">
        <v>975</v>
      </c>
    </row>
    <row r="403">
      <c r="A403" s="54" t="s">
        <v>675</v>
      </c>
      <c r="B403" s="54" t="s">
        <v>46</v>
      </c>
      <c r="C403" s="54" t="s">
        <v>949</v>
      </c>
    </row>
    <row r="404">
      <c r="A404" s="54" t="s">
        <v>676</v>
      </c>
      <c r="B404" s="54" t="s">
        <v>22</v>
      </c>
      <c r="C404" s="54" t="s">
        <v>952</v>
      </c>
    </row>
    <row r="405">
      <c r="A405" s="54" t="s">
        <v>677</v>
      </c>
      <c r="B405" s="54" t="s">
        <v>22</v>
      </c>
      <c r="C405" s="54" t="s">
        <v>952</v>
      </c>
    </row>
    <row r="406">
      <c r="A406" s="54" t="s">
        <v>678</v>
      </c>
      <c r="B406" s="54" t="s">
        <v>46</v>
      </c>
      <c r="C406" s="54" t="s">
        <v>968</v>
      </c>
    </row>
    <row r="407">
      <c r="A407" s="54" t="s">
        <v>679</v>
      </c>
      <c r="B407" s="54" t="s">
        <v>56</v>
      </c>
      <c r="C407" s="54" t="s">
        <v>967</v>
      </c>
    </row>
    <row r="408">
      <c r="A408" s="54" t="s">
        <v>680</v>
      </c>
      <c r="B408" s="54" t="s">
        <v>46</v>
      </c>
      <c r="C408" s="54" t="s">
        <v>949</v>
      </c>
    </row>
    <row r="409">
      <c r="A409" s="54" t="s">
        <v>681</v>
      </c>
      <c r="B409" s="54" t="s">
        <v>46</v>
      </c>
      <c r="C409" s="54" t="s">
        <v>949</v>
      </c>
    </row>
    <row r="410">
      <c r="A410" s="54" t="s">
        <v>683</v>
      </c>
      <c r="B410" s="54" t="s">
        <v>46</v>
      </c>
      <c r="C410" s="54" t="s">
        <v>949</v>
      </c>
    </row>
    <row r="411">
      <c r="A411" s="54" t="s">
        <v>685</v>
      </c>
      <c r="B411" s="54" t="s">
        <v>46</v>
      </c>
      <c r="C411" s="54" t="s">
        <v>949</v>
      </c>
    </row>
    <row r="412">
      <c r="A412" s="54" t="s">
        <v>686</v>
      </c>
      <c r="B412" s="54" t="s">
        <v>64</v>
      </c>
      <c r="C412" s="54" t="s">
        <v>1003</v>
      </c>
    </row>
    <row r="413">
      <c r="A413" s="54" t="s">
        <v>687</v>
      </c>
      <c r="B413" s="54" t="s">
        <v>111</v>
      </c>
      <c r="C413" s="54" t="s">
        <v>963</v>
      </c>
    </row>
    <row r="414">
      <c r="A414" s="54" t="s">
        <v>688</v>
      </c>
      <c r="B414" s="54" t="s">
        <v>111</v>
      </c>
      <c r="C414" s="54" t="s">
        <v>963</v>
      </c>
    </row>
    <row r="415">
      <c r="A415" s="54" t="s">
        <v>689</v>
      </c>
      <c r="B415" s="54" t="s">
        <v>22</v>
      </c>
      <c r="C415" s="54" t="s">
        <v>960</v>
      </c>
    </row>
    <row r="416">
      <c r="A416" s="54" t="s">
        <v>690</v>
      </c>
      <c r="B416" s="54" t="s">
        <v>64</v>
      </c>
      <c r="C416" s="54" t="s">
        <v>989</v>
      </c>
    </row>
    <row r="417">
      <c r="A417" s="54" t="s">
        <v>692</v>
      </c>
      <c r="B417" s="54" t="s">
        <v>111</v>
      </c>
      <c r="C417" s="54" t="s">
        <v>963</v>
      </c>
    </row>
    <row r="418">
      <c r="A418" s="54" t="s">
        <v>693</v>
      </c>
      <c r="B418" s="54" t="s">
        <v>64</v>
      </c>
      <c r="C418" s="54" t="s">
        <v>1011</v>
      </c>
    </row>
    <row r="419">
      <c r="A419" s="54" t="s">
        <v>695</v>
      </c>
      <c r="B419" s="54" t="s">
        <v>56</v>
      </c>
      <c r="C419" s="54" t="s">
        <v>967</v>
      </c>
    </row>
    <row r="420">
      <c r="A420" s="54" t="s">
        <v>697</v>
      </c>
      <c r="B420" s="54" t="s">
        <v>22</v>
      </c>
      <c r="C420" s="54" t="s">
        <v>952</v>
      </c>
    </row>
    <row r="421">
      <c r="A421" s="54" t="s">
        <v>698</v>
      </c>
      <c r="B421" s="54" t="s">
        <v>56</v>
      </c>
      <c r="C421" s="54" t="s">
        <v>967</v>
      </c>
    </row>
    <row r="422">
      <c r="A422" s="54" t="s">
        <v>699</v>
      </c>
      <c r="B422" s="54" t="s">
        <v>22</v>
      </c>
      <c r="C422" s="54" t="s">
        <v>986</v>
      </c>
    </row>
    <row r="423">
      <c r="A423" s="54" t="s">
        <v>700</v>
      </c>
      <c r="B423" s="54" t="s">
        <v>16</v>
      </c>
      <c r="C423" s="54" t="s">
        <v>946</v>
      </c>
    </row>
    <row r="424">
      <c r="A424" s="54" t="s">
        <v>702</v>
      </c>
      <c r="B424" s="54" t="s">
        <v>64</v>
      </c>
      <c r="C424" s="54" t="s">
        <v>954</v>
      </c>
    </row>
    <row r="425">
      <c r="A425" s="54" t="s">
        <v>703</v>
      </c>
      <c r="B425" s="54" t="s">
        <v>16</v>
      </c>
      <c r="C425" s="54" t="s">
        <v>994</v>
      </c>
    </row>
    <row r="426">
      <c r="A426" s="54" t="s">
        <v>704</v>
      </c>
      <c r="B426" s="54" t="s">
        <v>46</v>
      </c>
      <c r="C426" s="54" t="s">
        <v>958</v>
      </c>
    </row>
    <row r="427">
      <c r="A427" s="54" t="s">
        <v>705</v>
      </c>
      <c r="B427" s="54" t="s">
        <v>16</v>
      </c>
      <c r="C427" s="54" t="s">
        <v>994</v>
      </c>
    </row>
    <row r="428">
      <c r="A428" s="54" t="s">
        <v>707</v>
      </c>
      <c r="B428" s="54" t="s">
        <v>22</v>
      </c>
      <c r="C428" s="54" t="s">
        <v>955</v>
      </c>
    </row>
    <row r="429">
      <c r="A429" s="54" t="s">
        <v>709</v>
      </c>
      <c r="B429" s="54" t="s">
        <v>22</v>
      </c>
      <c r="C429" s="54" t="s">
        <v>952</v>
      </c>
    </row>
    <row r="430">
      <c r="A430" s="54" t="s">
        <v>710</v>
      </c>
      <c r="B430" s="54" t="s">
        <v>22</v>
      </c>
      <c r="C430" s="54" t="s">
        <v>952</v>
      </c>
    </row>
    <row r="431">
      <c r="A431" s="54" t="s">
        <v>712</v>
      </c>
      <c r="B431" s="54" t="s">
        <v>46</v>
      </c>
      <c r="C431" s="54" t="s">
        <v>949</v>
      </c>
    </row>
    <row r="432">
      <c r="A432" s="54" t="s">
        <v>714</v>
      </c>
      <c r="B432" s="54" t="s">
        <v>56</v>
      </c>
      <c r="C432" s="54" t="s">
        <v>967</v>
      </c>
    </row>
    <row r="433">
      <c r="A433" s="54" t="s">
        <v>715</v>
      </c>
      <c r="B433" s="54" t="s">
        <v>56</v>
      </c>
      <c r="C433" s="54" t="s">
        <v>967</v>
      </c>
    </row>
    <row r="434">
      <c r="A434" s="54" t="s">
        <v>717</v>
      </c>
      <c r="B434" s="54" t="s">
        <v>56</v>
      </c>
      <c r="C434" s="54" t="s">
        <v>969</v>
      </c>
    </row>
    <row r="435">
      <c r="A435" s="54" t="s">
        <v>718</v>
      </c>
      <c r="B435" s="54" t="s">
        <v>22</v>
      </c>
      <c r="C435" s="54" t="s">
        <v>952</v>
      </c>
    </row>
    <row r="436">
      <c r="A436" s="54" t="s">
        <v>719</v>
      </c>
      <c r="B436" s="54" t="s">
        <v>16</v>
      </c>
      <c r="C436" s="54" t="s">
        <v>29</v>
      </c>
    </row>
    <row r="437">
      <c r="A437" s="54" t="s">
        <v>720</v>
      </c>
      <c r="B437" s="54" t="s">
        <v>16</v>
      </c>
      <c r="C437" s="54" t="s">
        <v>946</v>
      </c>
    </row>
    <row r="438">
      <c r="A438" s="54" t="s">
        <v>721</v>
      </c>
      <c r="B438" s="54" t="s">
        <v>16</v>
      </c>
      <c r="C438" s="54" t="s">
        <v>29</v>
      </c>
    </row>
    <row r="439">
      <c r="A439" s="54" t="s">
        <v>722</v>
      </c>
      <c r="B439" s="54" t="s">
        <v>46</v>
      </c>
      <c r="C439" s="54" t="s">
        <v>968</v>
      </c>
    </row>
    <row r="440">
      <c r="A440" s="54" t="s">
        <v>724</v>
      </c>
      <c r="B440" s="54" t="s">
        <v>22</v>
      </c>
      <c r="C440" s="54" t="s">
        <v>952</v>
      </c>
    </row>
    <row r="441">
      <c r="A441" s="54" t="s">
        <v>725</v>
      </c>
      <c r="B441" s="54" t="s">
        <v>46</v>
      </c>
      <c r="C441" s="54" t="s">
        <v>949</v>
      </c>
    </row>
    <row r="442">
      <c r="A442" s="54" t="s">
        <v>726</v>
      </c>
      <c r="B442" s="54" t="s">
        <v>22</v>
      </c>
      <c r="C442" s="54" t="s">
        <v>952</v>
      </c>
    </row>
    <row r="443">
      <c r="A443" s="54" t="s">
        <v>727</v>
      </c>
      <c r="B443" s="54" t="s">
        <v>42</v>
      </c>
      <c r="C443" s="54" t="s">
        <v>964</v>
      </c>
    </row>
    <row r="444">
      <c r="A444" s="54" t="s">
        <v>728</v>
      </c>
      <c r="B444" s="54" t="s">
        <v>22</v>
      </c>
      <c r="C444" s="54" t="s">
        <v>988</v>
      </c>
    </row>
    <row r="445">
      <c r="A445" s="54" t="s">
        <v>729</v>
      </c>
      <c r="B445" s="54" t="s">
        <v>16</v>
      </c>
      <c r="C445" s="54" t="s">
        <v>17</v>
      </c>
    </row>
    <row r="446">
      <c r="A446" s="54" t="s">
        <v>730</v>
      </c>
      <c r="B446" s="54" t="s">
        <v>38</v>
      </c>
      <c r="C446" s="54" t="s">
        <v>1000</v>
      </c>
    </row>
    <row r="447">
      <c r="A447" s="54" t="s">
        <v>732</v>
      </c>
      <c r="B447" s="54" t="s">
        <v>46</v>
      </c>
      <c r="C447" s="54" t="s">
        <v>968</v>
      </c>
    </row>
    <row r="448">
      <c r="A448" s="54" t="s">
        <v>734</v>
      </c>
      <c r="B448" s="54" t="s">
        <v>42</v>
      </c>
      <c r="C448" s="54" t="s">
        <v>991</v>
      </c>
    </row>
    <row r="449">
      <c r="A449" s="54" t="s">
        <v>735</v>
      </c>
      <c r="B449" s="54" t="s">
        <v>42</v>
      </c>
      <c r="C449" s="54" t="s">
        <v>965</v>
      </c>
    </row>
    <row r="450">
      <c r="A450" s="54" t="s">
        <v>736</v>
      </c>
      <c r="B450" s="54" t="s">
        <v>46</v>
      </c>
      <c r="C450" s="54" t="s">
        <v>949</v>
      </c>
    </row>
    <row r="451">
      <c r="A451" s="54" t="s">
        <v>737</v>
      </c>
      <c r="B451" s="54" t="s">
        <v>22</v>
      </c>
      <c r="C451" s="54" t="s">
        <v>988</v>
      </c>
    </row>
    <row r="452">
      <c r="A452" s="54" t="s">
        <v>738</v>
      </c>
      <c r="B452" s="54" t="s">
        <v>111</v>
      </c>
      <c r="C452" s="54" t="s">
        <v>963</v>
      </c>
    </row>
    <row r="453">
      <c r="A453" s="54" t="s">
        <v>739</v>
      </c>
      <c r="B453" s="54" t="s">
        <v>46</v>
      </c>
      <c r="C453" s="54" t="s">
        <v>985</v>
      </c>
    </row>
    <row r="454">
      <c r="A454" s="54" t="s">
        <v>741</v>
      </c>
      <c r="B454" s="54" t="s">
        <v>38</v>
      </c>
      <c r="C454" s="54" t="s">
        <v>950</v>
      </c>
    </row>
    <row r="455">
      <c r="A455" s="54" t="s">
        <v>742</v>
      </c>
      <c r="B455" s="54" t="s">
        <v>16</v>
      </c>
      <c r="C455" s="54" t="s">
        <v>966</v>
      </c>
    </row>
    <row r="456">
      <c r="A456" s="54" t="s">
        <v>743</v>
      </c>
      <c r="B456" s="54" t="s">
        <v>64</v>
      </c>
      <c r="C456" s="54" t="s">
        <v>962</v>
      </c>
    </row>
    <row r="457">
      <c r="A457" s="54" t="s">
        <v>744</v>
      </c>
      <c r="B457" s="54" t="s">
        <v>42</v>
      </c>
      <c r="C457" s="54" t="s">
        <v>991</v>
      </c>
    </row>
    <row r="458">
      <c r="A458" s="54" t="s">
        <v>745</v>
      </c>
      <c r="B458" s="54" t="s">
        <v>16</v>
      </c>
      <c r="C458" s="54" t="s">
        <v>29</v>
      </c>
    </row>
    <row r="459">
      <c r="A459" s="54" t="s">
        <v>747</v>
      </c>
      <c r="B459" s="54" t="s">
        <v>46</v>
      </c>
      <c r="C459" s="54" t="s">
        <v>949</v>
      </c>
    </row>
    <row r="460">
      <c r="A460" s="54" t="s">
        <v>748</v>
      </c>
      <c r="B460" s="54" t="s">
        <v>42</v>
      </c>
      <c r="C460" s="54" t="s">
        <v>991</v>
      </c>
    </row>
    <row r="461">
      <c r="A461" s="54" t="s">
        <v>749</v>
      </c>
      <c r="B461" s="54" t="s">
        <v>22</v>
      </c>
      <c r="C461" s="54" t="s">
        <v>956</v>
      </c>
    </row>
    <row r="462">
      <c r="A462" s="54" t="s">
        <v>750</v>
      </c>
      <c r="B462" s="54" t="s">
        <v>22</v>
      </c>
      <c r="C462" s="54" t="s">
        <v>971</v>
      </c>
    </row>
    <row r="463">
      <c r="A463" s="54" t="s">
        <v>751</v>
      </c>
      <c r="B463" s="54" t="s">
        <v>56</v>
      </c>
      <c r="C463" s="54" t="s">
        <v>967</v>
      </c>
    </row>
    <row r="464">
      <c r="A464" s="54" t="s">
        <v>753</v>
      </c>
      <c r="B464" s="54" t="s">
        <v>16</v>
      </c>
      <c r="C464" s="54" t="s">
        <v>994</v>
      </c>
    </row>
    <row r="465">
      <c r="A465" s="54" t="s">
        <v>754</v>
      </c>
      <c r="B465" s="54" t="s">
        <v>16</v>
      </c>
      <c r="C465" s="54" t="s">
        <v>946</v>
      </c>
    </row>
    <row r="466">
      <c r="A466" s="54" t="s">
        <v>756</v>
      </c>
      <c r="B466" s="54" t="s">
        <v>42</v>
      </c>
      <c r="C466" s="54" t="s">
        <v>947</v>
      </c>
    </row>
    <row r="467">
      <c r="A467" s="54" t="s">
        <v>758</v>
      </c>
      <c r="B467" s="54" t="s">
        <v>64</v>
      </c>
      <c r="C467" s="54" t="s">
        <v>954</v>
      </c>
    </row>
    <row r="468">
      <c r="A468" s="54" t="s">
        <v>759</v>
      </c>
      <c r="B468" s="54" t="s">
        <v>22</v>
      </c>
      <c r="C468" s="54" t="s">
        <v>952</v>
      </c>
    </row>
    <row r="469">
      <c r="A469" s="54" t="s">
        <v>760</v>
      </c>
      <c r="B469" s="54" t="s">
        <v>16</v>
      </c>
      <c r="C469" s="54" t="s">
        <v>17</v>
      </c>
    </row>
    <row r="470">
      <c r="A470" s="54" t="s">
        <v>761</v>
      </c>
      <c r="B470" s="54" t="s">
        <v>46</v>
      </c>
      <c r="C470" s="54" t="s">
        <v>949</v>
      </c>
    </row>
    <row r="471">
      <c r="A471" s="54" t="s">
        <v>763</v>
      </c>
      <c r="B471" s="54" t="s">
        <v>46</v>
      </c>
      <c r="C471" s="54" t="s">
        <v>949</v>
      </c>
    </row>
    <row r="472">
      <c r="A472" s="54" t="s">
        <v>765</v>
      </c>
      <c r="B472" s="54" t="s">
        <v>42</v>
      </c>
      <c r="C472" s="54" t="s">
        <v>965</v>
      </c>
    </row>
    <row r="473">
      <c r="A473" s="54" t="s">
        <v>767</v>
      </c>
      <c r="B473" s="54" t="s">
        <v>22</v>
      </c>
      <c r="C473" s="54" t="s">
        <v>953</v>
      </c>
    </row>
    <row r="474">
      <c r="A474" s="54" t="s">
        <v>768</v>
      </c>
      <c r="B474" s="54" t="s">
        <v>217</v>
      </c>
      <c r="C474" s="54" t="s">
        <v>990</v>
      </c>
    </row>
    <row r="475">
      <c r="A475" s="54" t="s">
        <v>769</v>
      </c>
      <c r="B475" s="54" t="s">
        <v>16</v>
      </c>
      <c r="C475" s="54" t="s">
        <v>977</v>
      </c>
    </row>
    <row r="476">
      <c r="A476" s="54" t="s">
        <v>771</v>
      </c>
      <c r="B476" s="54" t="s">
        <v>111</v>
      </c>
      <c r="C476" s="54" t="s">
        <v>963</v>
      </c>
    </row>
    <row r="477">
      <c r="A477" s="54" t="s">
        <v>772</v>
      </c>
      <c r="B477" s="54" t="s">
        <v>46</v>
      </c>
      <c r="C477" s="54" t="s">
        <v>949</v>
      </c>
    </row>
    <row r="478">
      <c r="A478" s="54" t="s">
        <v>774</v>
      </c>
      <c r="B478" s="54" t="s">
        <v>46</v>
      </c>
      <c r="C478" s="54" t="s">
        <v>968</v>
      </c>
    </row>
    <row r="479">
      <c r="A479" s="54" t="s">
        <v>775</v>
      </c>
      <c r="B479" s="54" t="s">
        <v>22</v>
      </c>
      <c r="C479" s="54" t="s">
        <v>952</v>
      </c>
    </row>
    <row r="480">
      <c r="A480" s="54" t="s">
        <v>776</v>
      </c>
      <c r="B480" s="54" t="s">
        <v>22</v>
      </c>
      <c r="C480" s="54" t="s">
        <v>952</v>
      </c>
    </row>
    <row r="481">
      <c r="A481" s="54" t="s">
        <v>777</v>
      </c>
      <c r="B481" s="54" t="s">
        <v>22</v>
      </c>
      <c r="C481" s="54" t="s">
        <v>953</v>
      </c>
    </row>
    <row r="482">
      <c r="A482" s="54" t="s">
        <v>778</v>
      </c>
      <c r="B482" s="54" t="s">
        <v>72</v>
      </c>
      <c r="C482" s="54" t="s">
        <v>995</v>
      </c>
    </row>
    <row r="483">
      <c r="A483" s="54" t="s">
        <v>779</v>
      </c>
      <c r="B483" s="54" t="s">
        <v>16</v>
      </c>
      <c r="C483" s="54" t="s">
        <v>29</v>
      </c>
    </row>
    <row r="484">
      <c r="A484" s="54" t="s">
        <v>781</v>
      </c>
      <c r="B484" s="54" t="s">
        <v>56</v>
      </c>
      <c r="C484" s="54" t="s">
        <v>967</v>
      </c>
    </row>
    <row r="485">
      <c r="A485" s="54" t="s">
        <v>783</v>
      </c>
      <c r="B485" s="54" t="s">
        <v>22</v>
      </c>
      <c r="C485" s="54" t="s">
        <v>952</v>
      </c>
    </row>
    <row r="486">
      <c r="A486" s="54" t="s">
        <v>784</v>
      </c>
      <c r="B486" s="54" t="s">
        <v>46</v>
      </c>
      <c r="C486" s="54" t="s">
        <v>949</v>
      </c>
    </row>
    <row r="487">
      <c r="A487" s="54" t="s">
        <v>785</v>
      </c>
      <c r="B487" s="54" t="s">
        <v>16</v>
      </c>
      <c r="C487" s="54" t="s">
        <v>966</v>
      </c>
    </row>
    <row r="488">
      <c r="A488" s="54" t="s">
        <v>786</v>
      </c>
      <c r="B488" s="54" t="s">
        <v>72</v>
      </c>
      <c r="C488" s="54" t="s">
        <v>995</v>
      </c>
    </row>
    <row r="489">
      <c r="A489" s="54" t="s">
        <v>787</v>
      </c>
      <c r="B489" s="54" t="s">
        <v>111</v>
      </c>
      <c r="C489" s="54" t="s">
        <v>963</v>
      </c>
    </row>
    <row r="490">
      <c r="A490" s="54" t="s">
        <v>788</v>
      </c>
      <c r="B490" s="54" t="s">
        <v>22</v>
      </c>
      <c r="C490" s="54" t="s">
        <v>955</v>
      </c>
    </row>
    <row r="491">
      <c r="A491" s="54" t="s">
        <v>789</v>
      </c>
      <c r="B491" s="54" t="s">
        <v>111</v>
      </c>
      <c r="C491" s="54" t="s">
        <v>963</v>
      </c>
    </row>
    <row r="492">
      <c r="A492" s="54" t="s">
        <v>790</v>
      </c>
      <c r="B492" s="54" t="s">
        <v>72</v>
      </c>
      <c r="C492" s="54" t="s">
        <v>995</v>
      </c>
    </row>
    <row r="493">
      <c r="A493" s="54" t="s">
        <v>791</v>
      </c>
      <c r="B493" s="54" t="s">
        <v>217</v>
      </c>
      <c r="C493" s="54" t="s">
        <v>999</v>
      </c>
    </row>
    <row r="494">
      <c r="A494" s="54" t="s">
        <v>792</v>
      </c>
      <c r="B494" s="54" t="s">
        <v>22</v>
      </c>
      <c r="C494" s="54" t="s">
        <v>953</v>
      </c>
    </row>
    <row r="495">
      <c r="A495" s="54" t="s">
        <v>794</v>
      </c>
      <c r="B495" s="54" t="s">
        <v>46</v>
      </c>
      <c r="C495" s="54" t="s">
        <v>958</v>
      </c>
    </row>
    <row r="496">
      <c r="A496" s="54" t="s">
        <v>796</v>
      </c>
      <c r="B496" s="54" t="s">
        <v>16</v>
      </c>
      <c r="C496" s="54" t="s">
        <v>946</v>
      </c>
    </row>
    <row r="497">
      <c r="A497" s="54" t="s">
        <v>797</v>
      </c>
      <c r="B497" s="54" t="s">
        <v>42</v>
      </c>
      <c r="C497" s="54" t="s">
        <v>964</v>
      </c>
    </row>
    <row r="498">
      <c r="A498" s="54" t="s">
        <v>799</v>
      </c>
      <c r="B498" s="54" t="s">
        <v>38</v>
      </c>
      <c r="C498" s="54" t="s">
        <v>959</v>
      </c>
    </row>
    <row r="499">
      <c r="A499" s="54" t="s">
        <v>800</v>
      </c>
      <c r="B499" s="54" t="s">
        <v>16</v>
      </c>
      <c r="C499" s="54" t="s">
        <v>29</v>
      </c>
    </row>
    <row r="500">
      <c r="A500" s="54" t="s">
        <v>802</v>
      </c>
      <c r="B500" s="54" t="s">
        <v>22</v>
      </c>
      <c r="C500" s="54" t="s">
        <v>971</v>
      </c>
    </row>
    <row r="501">
      <c r="A501" s="54" t="s">
        <v>803</v>
      </c>
      <c r="B501" s="54" t="s">
        <v>22</v>
      </c>
      <c r="C501" s="54" t="s">
        <v>952</v>
      </c>
    </row>
    <row r="502">
      <c r="A502" s="54" t="s">
        <v>804</v>
      </c>
      <c r="B502" s="54" t="s">
        <v>56</v>
      </c>
      <c r="C502" s="54" t="s">
        <v>969</v>
      </c>
    </row>
    <row r="503">
      <c r="A503" s="54" t="s">
        <v>806</v>
      </c>
      <c r="B503" s="54" t="s">
        <v>22</v>
      </c>
      <c r="C503" s="54" t="s">
        <v>970</v>
      </c>
    </row>
    <row r="504">
      <c r="A504" s="54" t="s">
        <v>807</v>
      </c>
      <c r="B504" s="54" t="s">
        <v>16</v>
      </c>
      <c r="C504" s="54" t="s">
        <v>29</v>
      </c>
    </row>
    <row r="505">
      <c r="A505" s="54" t="s">
        <v>809</v>
      </c>
      <c r="B505" s="54" t="s">
        <v>56</v>
      </c>
      <c r="C505" s="54" t="s">
        <v>975</v>
      </c>
    </row>
    <row r="506">
      <c r="A506" s="54" t="s">
        <v>810</v>
      </c>
      <c r="B506" s="54" t="s">
        <v>46</v>
      </c>
      <c r="C506" s="54" t="s">
        <v>968</v>
      </c>
    </row>
    <row r="507">
      <c r="A507" s="54" t="s">
        <v>811</v>
      </c>
      <c r="B507" s="54" t="s">
        <v>22</v>
      </c>
      <c r="C507" s="54" t="s">
        <v>988</v>
      </c>
    </row>
    <row r="508">
      <c r="A508" s="54" t="s">
        <v>812</v>
      </c>
      <c r="B508" s="54" t="s">
        <v>56</v>
      </c>
      <c r="C508" s="54" t="s">
        <v>967</v>
      </c>
    </row>
    <row r="509">
      <c r="A509" s="54" t="s">
        <v>813</v>
      </c>
      <c r="B509" s="54" t="s">
        <v>56</v>
      </c>
      <c r="C509" s="54" t="s">
        <v>967</v>
      </c>
    </row>
    <row r="510">
      <c r="A510" s="54" t="s">
        <v>814</v>
      </c>
      <c r="B510" s="54" t="s">
        <v>56</v>
      </c>
      <c r="C510" s="54" t="s">
        <v>951</v>
      </c>
    </row>
    <row r="511">
      <c r="A511" s="54" t="s">
        <v>815</v>
      </c>
      <c r="B511" s="54" t="s">
        <v>38</v>
      </c>
      <c r="C511" s="54" t="s">
        <v>950</v>
      </c>
    </row>
    <row r="512">
      <c r="A512" s="54" t="s">
        <v>817</v>
      </c>
      <c r="B512" s="54" t="s">
        <v>42</v>
      </c>
      <c r="C512" s="54" t="s">
        <v>964</v>
      </c>
    </row>
    <row r="513">
      <c r="A513" s="54" t="s">
        <v>818</v>
      </c>
      <c r="B513" s="54" t="s">
        <v>56</v>
      </c>
      <c r="C513" s="54" t="s">
        <v>978</v>
      </c>
    </row>
    <row r="514">
      <c r="A514" s="54" t="s">
        <v>819</v>
      </c>
      <c r="B514" s="54" t="s">
        <v>16</v>
      </c>
      <c r="C514" s="54" t="s">
        <v>29</v>
      </c>
    </row>
    <row r="515">
      <c r="A515" s="54" t="s">
        <v>820</v>
      </c>
      <c r="B515" s="54" t="s">
        <v>46</v>
      </c>
      <c r="C515" s="54" t="s">
        <v>968</v>
      </c>
    </row>
    <row r="516">
      <c r="A516" s="54" t="s">
        <v>822</v>
      </c>
      <c r="B516" s="54" t="s">
        <v>72</v>
      </c>
      <c r="C516" s="54" t="s">
        <v>979</v>
      </c>
    </row>
    <row r="517">
      <c r="A517" s="54" t="s">
        <v>823</v>
      </c>
      <c r="B517" s="54" t="s">
        <v>16</v>
      </c>
      <c r="C517" s="54" t="s">
        <v>17</v>
      </c>
    </row>
    <row r="518">
      <c r="A518" s="54" t="s">
        <v>825</v>
      </c>
      <c r="B518" s="54" t="s">
        <v>46</v>
      </c>
      <c r="C518" s="54" t="s">
        <v>949</v>
      </c>
    </row>
    <row r="519">
      <c r="A519" s="54" t="s">
        <v>826</v>
      </c>
      <c r="B519" s="54" t="s">
        <v>72</v>
      </c>
      <c r="C519" s="54" t="s">
        <v>974</v>
      </c>
    </row>
    <row r="520">
      <c r="A520" s="54" t="s">
        <v>828</v>
      </c>
      <c r="B520" s="54" t="s">
        <v>56</v>
      </c>
      <c r="C520" s="54" t="s">
        <v>973</v>
      </c>
    </row>
    <row r="521">
      <c r="A521" s="54" t="s">
        <v>829</v>
      </c>
      <c r="B521" s="54" t="s">
        <v>111</v>
      </c>
      <c r="C521" s="54" t="s">
        <v>963</v>
      </c>
    </row>
    <row r="522">
      <c r="A522" s="54" t="s">
        <v>830</v>
      </c>
      <c r="B522" s="54" t="s">
        <v>56</v>
      </c>
      <c r="C522" s="54" t="s">
        <v>975</v>
      </c>
    </row>
    <row r="523">
      <c r="A523" s="54" t="s">
        <v>832</v>
      </c>
      <c r="B523" s="54" t="s">
        <v>46</v>
      </c>
      <c r="C523" s="54" t="s">
        <v>949</v>
      </c>
    </row>
    <row r="524">
      <c r="A524" s="54" t="s">
        <v>833</v>
      </c>
      <c r="B524" s="54" t="s">
        <v>22</v>
      </c>
      <c r="C524" s="54" t="s">
        <v>970</v>
      </c>
    </row>
    <row r="525">
      <c r="A525" s="54" t="s">
        <v>834</v>
      </c>
      <c r="B525" s="54" t="s">
        <v>16</v>
      </c>
      <c r="C525" s="54" t="s">
        <v>29</v>
      </c>
    </row>
    <row r="526">
      <c r="A526" s="54" t="s">
        <v>835</v>
      </c>
      <c r="B526" s="54" t="s">
        <v>46</v>
      </c>
      <c r="C526" s="54" t="s">
        <v>949</v>
      </c>
    </row>
    <row r="527">
      <c r="A527" s="54" t="s">
        <v>836</v>
      </c>
      <c r="B527" s="54" t="s">
        <v>64</v>
      </c>
      <c r="C527" s="54" t="s">
        <v>980</v>
      </c>
    </row>
    <row r="528">
      <c r="A528" s="54" t="s">
        <v>838</v>
      </c>
      <c r="B528" s="54" t="s">
        <v>46</v>
      </c>
      <c r="C528" s="54" t="s">
        <v>949</v>
      </c>
    </row>
    <row r="529">
      <c r="A529" s="54" t="s">
        <v>839</v>
      </c>
      <c r="B529" s="54" t="s">
        <v>46</v>
      </c>
      <c r="C529" s="54" t="s">
        <v>949</v>
      </c>
    </row>
    <row r="530">
      <c r="A530" s="54" t="s">
        <v>841</v>
      </c>
      <c r="B530" s="54" t="s">
        <v>22</v>
      </c>
      <c r="C530" s="54" t="s">
        <v>952</v>
      </c>
    </row>
    <row r="531">
      <c r="A531" s="54" t="s">
        <v>842</v>
      </c>
      <c r="B531" s="54" t="s">
        <v>22</v>
      </c>
      <c r="C531" s="54" t="s">
        <v>988</v>
      </c>
    </row>
    <row r="532">
      <c r="A532" s="54" t="s">
        <v>843</v>
      </c>
      <c r="B532" s="54" t="s">
        <v>42</v>
      </c>
      <c r="C532" s="54" t="s">
        <v>947</v>
      </c>
    </row>
    <row r="533">
      <c r="A533" s="54" t="s">
        <v>845</v>
      </c>
      <c r="B533" s="54" t="s">
        <v>42</v>
      </c>
      <c r="C533" s="54" t="s">
        <v>965</v>
      </c>
    </row>
    <row r="534">
      <c r="A534" s="54" t="s">
        <v>847</v>
      </c>
      <c r="B534" s="54" t="s">
        <v>38</v>
      </c>
      <c r="C534" s="54" t="s">
        <v>1000</v>
      </c>
    </row>
    <row r="535">
      <c r="A535" s="54" t="s">
        <v>848</v>
      </c>
      <c r="B535" s="54" t="s">
        <v>72</v>
      </c>
      <c r="C535" s="54" t="s">
        <v>974</v>
      </c>
    </row>
    <row r="536">
      <c r="A536" s="54" t="s">
        <v>849</v>
      </c>
      <c r="B536" s="54" t="s">
        <v>111</v>
      </c>
      <c r="C536" s="54" t="s">
        <v>963</v>
      </c>
    </row>
    <row r="537">
      <c r="A537" s="54" t="s">
        <v>850</v>
      </c>
      <c r="B537" s="54" t="s">
        <v>56</v>
      </c>
      <c r="C537" s="54" t="s">
        <v>967</v>
      </c>
    </row>
    <row r="538">
      <c r="A538" s="54" t="s">
        <v>852</v>
      </c>
      <c r="B538" s="54" t="s">
        <v>46</v>
      </c>
      <c r="C538" s="54" t="s">
        <v>949</v>
      </c>
    </row>
    <row r="539">
      <c r="A539" s="54" t="s">
        <v>853</v>
      </c>
      <c r="B539" s="54" t="s">
        <v>111</v>
      </c>
      <c r="C539" s="54" t="s">
        <v>963</v>
      </c>
    </row>
    <row r="540">
      <c r="A540" s="54" t="s">
        <v>854</v>
      </c>
      <c r="B540" s="54" t="s">
        <v>16</v>
      </c>
      <c r="C540" s="54" t="s">
        <v>17</v>
      </c>
    </row>
    <row r="541">
      <c r="A541" s="54" t="s">
        <v>856</v>
      </c>
      <c r="B541" s="54" t="s">
        <v>64</v>
      </c>
      <c r="C541" s="54" t="s">
        <v>1007</v>
      </c>
    </row>
    <row r="542">
      <c r="A542" s="54" t="s">
        <v>858</v>
      </c>
      <c r="B542" s="54" t="s">
        <v>72</v>
      </c>
      <c r="C542" s="54" t="s">
        <v>957</v>
      </c>
    </row>
    <row r="543">
      <c r="A543" s="54" t="s">
        <v>859</v>
      </c>
      <c r="B543" s="54" t="s">
        <v>22</v>
      </c>
      <c r="C543" s="54" t="s">
        <v>953</v>
      </c>
    </row>
    <row r="544">
      <c r="A544" s="54" t="s">
        <v>860</v>
      </c>
      <c r="B544" s="54" t="s">
        <v>64</v>
      </c>
      <c r="C544" s="54" t="s">
        <v>954</v>
      </c>
    </row>
    <row r="545">
      <c r="A545" s="54" t="s">
        <v>862</v>
      </c>
      <c r="B545" s="54" t="s">
        <v>111</v>
      </c>
      <c r="C545" s="54" t="s">
        <v>963</v>
      </c>
    </row>
    <row r="546">
      <c r="A546" s="54" t="s">
        <v>863</v>
      </c>
      <c r="B546" s="54" t="s">
        <v>56</v>
      </c>
      <c r="C546" s="54" t="s">
        <v>951</v>
      </c>
    </row>
    <row r="547">
      <c r="A547" s="54" t="s">
        <v>864</v>
      </c>
      <c r="B547" s="54" t="s">
        <v>38</v>
      </c>
      <c r="C547" s="54" t="s">
        <v>959</v>
      </c>
    </row>
    <row r="548">
      <c r="A548" s="54" t="s">
        <v>865</v>
      </c>
      <c r="B548" s="54" t="s">
        <v>42</v>
      </c>
      <c r="C548" s="54" t="s">
        <v>947</v>
      </c>
    </row>
    <row r="549">
      <c r="A549" s="54" t="s">
        <v>867</v>
      </c>
      <c r="B549" s="54" t="s">
        <v>16</v>
      </c>
      <c r="C549" s="54" t="s">
        <v>1002</v>
      </c>
    </row>
    <row r="550">
      <c r="A550" s="54" t="s">
        <v>868</v>
      </c>
      <c r="B550" s="54" t="s">
        <v>22</v>
      </c>
      <c r="C550" s="54" t="s">
        <v>952</v>
      </c>
    </row>
    <row r="551">
      <c r="A551" s="54" t="s">
        <v>869</v>
      </c>
      <c r="B551" s="54" t="s">
        <v>22</v>
      </c>
      <c r="C551" s="54" t="s">
        <v>971</v>
      </c>
    </row>
    <row r="552">
      <c r="A552" s="54" t="s">
        <v>871</v>
      </c>
      <c r="B552" s="54" t="s">
        <v>46</v>
      </c>
      <c r="C552" s="54" t="s">
        <v>949</v>
      </c>
    </row>
    <row r="553">
      <c r="A553" s="54" t="s">
        <v>873</v>
      </c>
      <c r="B553" s="54" t="s">
        <v>56</v>
      </c>
      <c r="C553" s="54" t="s">
        <v>975</v>
      </c>
    </row>
    <row r="554">
      <c r="A554" s="54" t="s">
        <v>874</v>
      </c>
      <c r="B554" s="54" t="s">
        <v>38</v>
      </c>
      <c r="C554" s="54" t="s">
        <v>950</v>
      </c>
    </row>
    <row r="555">
      <c r="A555" s="54" t="s">
        <v>875</v>
      </c>
      <c r="B555" s="54" t="s">
        <v>22</v>
      </c>
      <c r="C555" s="54" t="s">
        <v>952</v>
      </c>
    </row>
    <row r="556">
      <c r="A556" s="54" t="s">
        <v>876</v>
      </c>
      <c r="B556" s="54" t="s">
        <v>22</v>
      </c>
      <c r="C556" s="54" t="s">
        <v>952</v>
      </c>
    </row>
    <row r="557">
      <c r="A557" s="54" t="s">
        <v>878</v>
      </c>
      <c r="B557" s="54" t="s">
        <v>16</v>
      </c>
      <c r="C557" s="54" t="s">
        <v>946</v>
      </c>
    </row>
    <row r="558">
      <c r="A558" s="54" t="s">
        <v>880</v>
      </c>
      <c r="B558" s="54" t="s">
        <v>72</v>
      </c>
      <c r="C558" s="54" t="s">
        <v>957</v>
      </c>
    </row>
    <row r="559">
      <c r="A559" s="54" t="s">
        <v>881</v>
      </c>
      <c r="B559" s="54" t="s">
        <v>56</v>
      </c>
      <c r="C559" s="54" t="s">
        <v>1001</v>
      </c>
    </row>
    <row r="560">
      <c r="A560" s="54" t="s">
        <v>882</v>
      </c>
      <c r="B560" s="54" t="s">
        <v>46</v>
      </c>
      <c r="C560" s="54" t="s">
        <v>985</v>
      </c>
    </row>
    <row r="561">
      <c r="A561" s="54" t="s">
        <v>883</v>
      </c>
      <c r="B561" s="54" t="s">
        <v>16</v>
      </c>
      <c r="C561" s="54" t="s">
        <v>17</v>
      </c>
    </row>
    <row r="562">
      <c r="A562" s="54" t="s">
        <v>885</v>
      </c>
      <c r="B562" s="54" t="s">
        <v>46</v>
      </c>
      <c r="C562" s="54" t="s">
        <v>985</v>
      </c>
    </row>
    <row r="563">
      <c r="A563" s="54" t="s">
        <v>887</v>
      </c>
      <c r="B563" s="54" t="s">
        <v>111</v>
      </c>
      <c r="C563" s="54" t="s">
        <v>963</v>
      </c>
    </row>
    <row r="564">
      <c r="A564" s="54" t="s">
        <v>889</v>
      </c>
      <c r="B564" s="54" t="s">
        <v>22</v>
      </c>
      <c r="C564" s="54" t="s">
        <v>952</v>
      </c>
    </row>
    <row r="565">
      <c r="A565" s="54" t="s">
        <v>891</v>
      </c>
      <c r="B565" s="54" t="s">
        <v>46</v>
      </c>
      <c r="C565" s="54" t="s">
        <v>958</v>
      </c>
    </row>
    <row r="566">
      <c r="A566" s="54" t="s">
        <v>892</v>
      </c>
      <c r="B566" s="54" t="s">
        <v>46</v>
      </c>
      <c r="C566" s="54" t="s">
        <v>948</v>
      </c>
    </row>
    <row r="567">
      <c r="A567" s="54" t="s">
        <v>893</v>
      </c>
      <c r="B567" s="54" t="s">
        <v>1012</v>
      </c>
      <c r="C567" s="5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25"/>
    <col customWidth="1" min="2" max="2" width="19.0"/>
    <col customWidth="1" min="3" max="3" width="15.63"/>
  </cols>
  <sheetData>
    <row r="1">
      <c r="A1" s="54" t="s">
        <v>1013</v>
      </c>
      <c r="B1" s="54" t="s">
        <v>1014</v>
      </c>
      <c r="C1" s="54" t="s">
        <v>1015</v>
      </c>
    </row>
    <row r="2">
      <c r="A2" s="54" t="s">
        <v>38</v>
      </c>
      <c r="B2" s="54" t="s">
        <v>1016</v>
      </c>
      <c r="C2" s="54">
        <v>905000.0</v>
      </c>
    </row>
    <row r="3">
      <c r="A3" s="54" t="s">
        <v>42</v>
      </c>
      <c r="B3" s="54" t="s">
        <v>1017</v>
      </c>
      <c r="C3" s="54">
        <v>460000.0</v>
      </c>
    </row>
    <row r="4">
      <c r="A4" s="54" t="s">
        <v>111</v>
      </c>
      <c r="B4" s="54" t="s">
        <v>1018</v>
      </c>
      <c r="C4" s="54">
        <v>556000.0</v>
      </c>
    </row>
    <row r="5">
      <c r="A5" s="54" t="s">
        <v>22</v>
      </c>
      <c r="B5" s="54" t="s">
        <v>1019</v>
      </c>
      <c r="C5" s="54">
        <v>564000.0</v>
      </c>
    </row>
    <row r="6">
      <c r="A6" s="54" t="s">
        <v>16</v>
      </c>
      <c r="B6" s="54" t="s">
        <v>1020</v>
      </c>
      <c r="C6" s="54">
        <v>493000.0</v>
      </c>
    </row>
    <row r="7">
      <c r="A7" s="54" t="s">
        <v>64</v>
      </c>
      <c r="B7" s="54" t="s">
        <v>1020</v>
      </c>
      <c r="C7" s="54">
        <v>493000.0</v>
      </c>
    </row>
    <row r="8">
      <c r="A8" s="54" t="s">
        <v>56</v>
      </c>
      <c r="B8" s="54" t="s">
        <v>1021</v>
      </c>
      <c r="C8" s="54">
        <v>512000.0</v>
      </c>
    </row>
    <row r="9">
      <c r="A9" s="54" t="s">
        <v>46</v>
      </c>
      <c r="B9" s="54" t="s">
        <v>1018</v>
      </c>
      <c r="C9" s="54">
        <v>556000.0</v>
      </c>
    </row>
    <row r="10">
      <c r="A10" s="54" t="s">
        <v>217</v>
      </c>
      <c r="B10" s="54" t="s">
        <v>1022</v>
      </c>
      <c r="C10" s="54">
        <v>3030000.0</v>
      </c>
    </row>
    <row r="11">
      <c r="A11" s="54" t="s">
        <v>72</v>
      </c>
      <c r="B11" s="54" t="s">
        <v>1019</v>
      </c>
      <c r="C11" s="54">
        <v>564000.0</v>
      </c>
    </row>
    <row r="12">
      <c r="A12" s="54" t="s">
        <v>220</v>
      </c>
      <c r="B12" s="54" t="s">
        <v>220</v>
      </c>
      <c r="C12" s="54">
        <v>1740000.0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88"/>
    <col customWidth="1" min="2" max="2" width="21.63"/>
  </cols>
  <sheetData>
    <row r="1">
      <c r="A1" s="56" t="s">
        <v>1023</v>
      </c>
      <c r="B1" s="57" t="s">
        <v>1024</v>
      </c>
      <c r="C1" s="58" t="s">
        <v>1025</v>
      </c>
      <c r="D1" s="59"/>
    </row>
    <row r="2">
      <c r="A2" s="60" t="s">
        <v>1026</v>
      </c>
      <c r="B2" s="61" t="s">
        <v>1027</v>
      </c>
      <c r="C2" s="62">
        <v>3.03</v>
      </c>
      <c r="D2" s="59"/>
    </row>
    <row r="3">
      <c r="A3" s="60" t="s">
        <v>220</v>
      </c>
      <c r="B3" s="61" t="s">
        <v>1028</v>
      </c>
      <c r="C3" s="62">
        <v>1.74</v>
      </c>
      <c r="D3" s="59"/>
    </row>
    <row r="4">
      <c r="A4" s="60" t="s">
        <v>1016</v>
      </c>
      <c r="B4" s="61" t="s">
        <v>1029</v>
      </c>
      <c r="C4" s="62">
        <v>0.905</v>
      </c>
      <c r="D4" s="59"/>
    </row>
    <row r="5">
      <c r="A5" s="60" t="s">
        <v>1030</v>
      </c>
      <c r="B5" s="61" t="s">
        <v>1031</v>
      </c>
      <c r="C5" s="62">
        <v>0.704</v>
      </c>
      <c r="D5" s="59"/>
    </row>
    <row r="6">
      <c r="A6" s="60" t="s">
        <v>1019</v>
      </c>
      <c r="B6" s="61" t="s">
        <v>1032</v>
      </c>
      <c r="C6" s="62">
        <v>0.564</v>
      </c>
      <c r="D6" s="59"/>
    </row>
    <row r="7">
      <c r="A7" s="60" t="s">
        <v>1018</v>
      </c>
      <c r="B7" s="61" t="s">
        <v>1033</v>
      </c>
      <c r="C7" s="62">
        <v>0.556</v>
      </c>
      <c r="D7" s="59"/>
    </row>
    <row r="8">
      <c r="A8" s="60" t="s">
        <v>1021</v>
      </c>
      <c r="B8" s="61" t="s">
        <v>1034</v>
      </c>
      <c r="C8" s="62">
        <v>0.512</v>
      </c>
      <c r="D8" s="59"/>
    </row>
    <row r="9">
      <c r="A9" s="60" t="s">
        <v>1020</v>
      </c>
      <c r="B9" s="61" t="s">
        <v>1035</v>
      </c>
      <c r="C9" s="62">
        <v>0.493</v>
      </c>
      <c r="D9" s="59"/>
    </row>
    <row r="10">
      <c r="A10" s="60" t="s">
        <v>1017</v>
      </c>
      <c r="B10" s="61" t="s">
        <v>1036</v>
      </c>
      <c r="C10" s="62">
        <v>0.46</v>
      </c>
      <c r="D10" s="59"/>
    </row>
    <row r="11">
      <c r="A11" s="59"/>
      <c r="B11" s="59"/>
      <c r="C11" s="59"/>
      <c r="D11" s="59"/>
    </row>
  </sheetData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</hyperlinks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19.63"/>
    <col customWidth="1" min="3" max="3" width="26.5"/>
  </cols>
  <sheetData>
    <row r="1">
      <c r="A1" s="54" t="s">
        <v>3</v>
      </c>
      <c r="B1" s="54" t="s">
        <v>9</v>
      </c>
      <c r="C1" s="54" t="s">
        <v>1037</v>
      </c>
    </row>
    <row r="2">
      <c r="A2" s="54" t="s">
        <v>15</v>
      </c>
      <c r="B2" s="54" t="s">
        <v>19</v>
      </c>
      <c r="C2" s="54" t="s">
        <v>1038</v>
      </c>
    </row>
    <row r="3">
      <c r="A3" s="54" t="s">
        <v>21</v>
      </c>
      <c r="B3" s="54" t="s">
        <v>24</v>
      </c>
      <c r="C3" s="54" t="s">
        <v>1039</v>
      </c>
    </row>
    <row r="4">
      <c r="A4" s="55">
        <v>0.25</v>
      </c>
      <c r="B4" s="54" t="s">
        <v>27</v>
      </c>
    </row>
    <row r="5">
      <c r="A5" s="54" t="s">
        <v>28</v>
      </c>
      <c r="B5" s="54" t="s">
        <v>31</v>
      </c>
      <c r="C5" s="54" t="s">
        <v>1040</v>
      </c>
    </row>
    <row r="6">
      <c r="A6" s="54" t="s">
        <v>33</v>
      </c>
      <c r="B6" s="54" t="s">
        <v>35</v>
      </c>
      <c r="C6" s="54" t="s">
        <v>1040</v>
      </c>
    </row>
    <row r="7">
      <c r="A7" s="54" t="s">
        <v>37</v>
      </c>
      <c r="B7" s="54" t="s">
        <v>40</v>
      </c>
      <c r="C7" s="54" t="s">
        <v>1041</v>
      </c>
    </row>
    <row r="8">
      <c r="A8" s="54" t="s">
        <v>41</v>
      </c>
      <c r="B8" s="54" t="s">
        <v>43</v>
      </c>
      <c r="C8" s="54" t="s">
        <v>1039</v>
      </c>
    </row>
    <row r="9">
      <c r="A9" s="54" t="s">
        <v>45</v>
      </c>
      <c r="B9" s="54" t="s">
        <v>47</v>
      </c>
      <c r="C9" s="54" t="s">
        <v>1039</v>
      </c>
    </row>
    <row r="10">
      <c r="A10" s="54" t="s">
        <v>48</v>
      </c>
      <c r="B10" s="54" t="s">
        <v>49</v>
      </c>
      <c r="C10" s="54" t="s">
        <v>1042</v>
      </c>
    </row>
    <row r="11">
      <c r="A11" s="54" t="s">
        <v>50</v>
      </c>
      <c r="B11" s="54" t="s">
        <v>51</v>
      </c>
      <c r="C11" s="54" t="s">
        <v>1043</v>
      </c>
    </row>
    <row r="12">
      <c r="A12" s="54" t="s">
        <v>52</v>
      </c>
      <c r="B12" s="54" t="s">
        <v>53</v>
      </c>
      <c r="C12" s="54" t="s">
        <v>1044</v>
      </c>
    </row>
    <row r="13">
      <c r="A13" s="54" t="s">
        <v>55</v>
      </c>
      <c r="B13" s="54" t="s">
        <v>57</v>
      </c>
      <c r="C13" s="54" t="s">
        <v>1041</v>
      </c>
    </row>
    <row r="14">
      <c r="A14" s="54" t="s">
        <v>58</v>
      </c>
      <c r="B14" s="54" t="s">
        <v>59</v>
      </c>
      <c r="C14" s="54" t="s">
        <v>1041</v>
      </c>
    </row>
    <row r="15">
      <c r="A15" s="54" t="s">
        <v>60</v>
      </c>
      <c r="B15" s="54" t="s">
        <v>61</v>
      </c>
    </row>
    <row r="16">
      <c r="A16" s="54" t="s">
        <v>63</v>
      </c>
      <c r="B16" s="54" t="s">
        <v>66</v>
      </c>
      <c r="C16" s="54" t="s">
        <v>1041</v>
      </c>
    </row>
    <row r="17">
      <c r="A17" s="54" t="s">
        <v>67</v>
      </c>
      <c r="B17" s="54" t="s">
        <v>68</v>
      </c>
      <c r="C17" s="54" t="s">
        <v>1045</v>
      </c>
    </row>
    <row r="18">
      <c r="A18" s="54" t="s">
        <v>69</v>
      </c>
      <c r="B18" s="54" t="s">
        <v>70</v>
      </c>
      <c r="C18" s="54" t="s">
        <v>1039</v>
      </c>
    </row>
    <row r="19">
      <c r="A19" s="54" t="s">
        <v>71</v>
      </c>
      <c r="B19" s="54" t="s">
        <v>73</v>
      </c>
      <c r="C19" s="54" t="s">
        <v>1046</v>
      </c>
    </row>
    <row r="20">
      <c r="A20" s="54" t="s">
        <v>74</v>
      </c>
      <c r="B20" s="54" t="s">
        <v>73</v>
      </c>
      <c r="C20" s="54" t="s">
        <v>1039</v>
      </c>
    </row>
    <row r="21">
      <c r="A21" s="54" t="s">
        <v>75</v>
      </c>
      <c r="B21" s="54" t="s">
        <v>76</v>
      </c>
      <c r="C21" s="54" t="s">
        <v>1039</v>
      </c>
    </row>
    <row r="22">
      <c r="A22" s="54" t="s">
        <v>78</v>
      </c>
      <c r="B22" s="54" t="s">
        <v>80</v>
      </c>
      <c r="C22" s="54" t="s">
        <v>1039</v>
      </c>
    </row>
    <row r="23">
      <c r="A23" s="54" t="s">
        <v>82</v>
      </c>
      <c r="B23" s="54" t="s">
        <v>83</v>
      </c>
      <c r="C23" s="54" t="s">
        <v>1044</v>
      </c>
    </row>
    <row r="24">
      <c r="A24" s="54" t="s">
        <v>84</v>
      </c>
      <c r="B24" s="54" t="s">
        <v>66</v>
      </c>
      <c r="C24" s="54" t="s">
        <v>1041</v>
      </c>
    </row>
    <row r="25">
      <c r="A25" s="63" t="s">
        <v>87</v>
      </c>
      <c r="B25" s="54" t="s">
        <v>88</v>
      </c>
      <c r="C25" s="54" t="s">
        <v>1039</v>
      </c>
    </row>
    <row r="26">
      <c r="A26" s="54" t="s">
        <v>89</v>
      </c>
      <c r="B26" s="54" t="s">
        <v>90</v>
      </c>
      <c r="C26" s="54" t="s">
        <v>1047</v>
      </c>
    </row>
    <row r="27">
      <c r="A27" s="54" t="s">
        <v>91</v>
      </c>
      <c r="B27" s="54" t="s">
        <v>92</v>
      </c>
      <c r="C27" s="54" t="s">
        <v>1041</v>
      </c>
    </row>
    <row r="28">
      <c r="A28" s="54" t="s">
        <v>93</v>
      </c>
      <c r="B28" s="54" t="s">
        <v>70</v>
      </c>
      <c r="C28" s="54" t="s">
        <v>1048</v>
      </c>
    </row>
    <row r="29">
      <c r="A29" s="54" t="s">
        <v>94</v>
      </c>
      <c r="B29" s="54" t="s">
        <v>95</v>
      </c>
      <c r="C29" s="54" t="s">
        <v>1044</v>
      </c>
    </row>
    <row r="30">
      <c r="A30" s="54" t="s">
        <v>97</v>
      </c>
      <c r="B30" s="54" t="s">
        <v>98</v>
      </c>
      <c r="C30" s="54" t="s">
        <v>1044</v>
      </c>
    </row>
    <row r="31">
      <c r="A31" s="54" t="s">
        <v>99</v>
      </c>
      <c r="B31" s="54" t="s">
        <v>100</v>
      </c>
    </row>
    <row r="32">
      <c r="A32" s="54" t="s">
        <v>101</v>
      </c>
      <c r="B32" s="54" t="s">
        <v>102</v>
      </c>
    </row>
    <row r="33">
      <c r="A33" s="54" t="s">
        <v>103</v>
      </c>
      <c r="B33" s="54" t="s">
        <v>104</v>
      </c>
      <c r="C33" s="54" t="s">
        <v>1049</v>
      </c>
    </row>
    <row r="34">
      <c r="A34" s="54" t="s">
        <v>105</v>
      </c>
      <c r="B34" s="54" t="s">
        <v>83</v>
      </c>
      <c r="C34" s="54" t="s">
        <v>1039</v>
      </c>
    </row>
    <row r="35">
      <c r="A35" s="54" t="s">
        <v>106</v>
      </c>
      <c r="B35" s="54" t="s">
        <v>107</v>
      </c>
      <c r="C35" s="54" t="s">
        <v>1040</v>
      </c>
    </row>
    <row r="36">
      <c r="A36" s="54" t="s">
        <v>108</v>
      </c>
      <c r="B36" s="54" t="s">
        <v>109</v>
      </c>
      <c r="C36" s="54" t="s">
        <v>1044</v>
      </c>
    </row>
    <row r="37">
      <c r="A37" s="54" t="s">
        <v>110</v>
      </c>
      <c r="B37" s="54" t="s">
        <v>112</v>
      </c>
      <c r="C37" s="54" t="s">
        <v>1050</v>
      </c>
    </row>
    <row r="38">
      <c r="A38" s="54" t="s">
        <v>113</v>
      </c>
      <c r="B38" s="54" t="s">
        <v>31</v>
      </c>
      <c r="C38" s="54" t="s">
        <v>1051</v>
      </c>
    </row>
    <row r="39">
      <c r="A39" s="54" t="s">
        <v>114</v>
      </c>
      <c r="B39" s="54" t="s">
        <v>115</v>
      </c>
      <c r="C39" s="54" t="s">
        <v>1044</v>
      </c>
    </row>
    <row r="40">
      <c r="A40" s="54" t="s">
        <v>116</v>
      </c>
      <c r="B40" s="54" t="s">
        <v>117</v>
      </c>
      <c r="C40" s="54" t="s">
        <v>1042</v>
      </c>
    </row>
    <row r="41">
      <c r="A41" s="54" t="s">
        <v>118</v>
      </c>
      <c r="B41" s="54" t="s">
        <v>119</v>
      </c>
      <c r="C41" s="54" t="s">
        <v>1052</v>
      </c>
    </row>
    <row r="42">
      <c r="A42" s="54" t="s">
        <v>120</v>
      </c>
      <c r="B42" s="54" t="s">
        <v>73</v>
      </c>
      <c r="C42" s="54" t="s">
        <v>1053</v>
      </c>
    </row>
    <row r="43">
      <c r="A43" s="54" t="s">
        <v>122</v>
      </c>
      <c r="B43" s="54" t="s">
        <v>123</v>
      </c>
    </row>
    <row r="44">
      <c r="A44" s="54" t="s">
        <v>124</v>
      </c>
      <c r="B44" s="54" t="s">
        <v>125</v>
      </c>
      <c r="C44" s="54" t="s">
        <v>1054</v>
      </c>
    </row>
    <row r="45">
      <c r="A45" s="54" t="s">
        <v>126</v>
      </c>
      <c r="B45" s="54" t="s">
        <v>127</v>
      </c>
      <c r="C45" s="54" t="s">
        <v>1045</v>
      </c>
    </row>
    <row r="46">
      <c r="A46" s="54" t="s">
        <v>128</v>
      </c>
      <c r="B46" s="54" t="s">
        <v>129</v>
      </c>
      <c r="C46" s="54" t="s">
        <v>1055</v>
      </c>
    </row>
    <row r="47">
      <c r="A47" s="54" t="s">
        <v>130</v>
      </c>
      <c r="B47" s="54" t="s">
        <v>131</v>
      </c>
      <c r="C47" s="54" t="s">
        <v>1042</v>
      </c>
    </row>
    <row r="48">
      <c r="A48" s="54" t="s">
        <v>132</v>
      </c>
      <c r="B48" s="54" t="s">
        <v>83</v>
      </c>
      <c r="C48" s="54" t="s">
        <v>1044</v>
      </c>
    </row>
    <row r="49">
      <c r="A49" s="54" t="s">
        <v>133</v>
      </c>
      <c r="B49" s="54" t="s">
        <v>134</v>
      </c>
      <c r="C49" s="54" t="s">
        <v>1056</v>
      </c>
    </row>
    <row r="50">
      <c r="A50" s="54" t="s">
        <v>135</v>
      </c>
      <c r="B50" s="54" t="s">
        <v>136</v>
      </c>
      <c r="C50" s="54" t="s">
        <v>1039</v>
      </c>
    </row>
    <row r="51">
      <c r="A51" s="54" t="s">
        <v>137</v>
      </c>
      <c r="B51" s="54" t="s">
        <v>139</v>
      </c>
      <c r="C51" s="54" t="s">
        <v>1044</v>
      </c>
    </row>
    <row r="52">
      <c r="A52" s="54" t="s">
        <v>140</v>
      </c>
      <c r="B52" s="54" t="s">
        <v>141</v>
      </c>
      <c r="C52" s="54" t="s">
        <v>1039</v>
      </c>
    </row>
    <row r="53">
      <c r="A53" s="54" t="s">
        <v>142</v>
      </c>
      <c r="B53" s="54" t="s">
        <v>143</v>
      </c>
      <c r="C53" s="54" t="s">
        <v>1039</v>
      </c>
    </row>
    <row r="54">
      <c r="A54" s="54" t="s">
        <v>144</v>
      </c>
      <c r="B54" s="54" t="s">
        <v>24</v>
      </c>
      <c r="C54" s="54" t="s">
        <v>1039</v>
      </c>
    </row>
    <row r="55">
      <c r="A55" s="54" t="s">
        <v>145</v>
      </c>
      <c r="B55" s="54" t="s">
        <v>146</v>
      </c>
      <c r="C55" s="54" t="s">
        <v>1039</v>
      </c>
    </row>
    <row r="56">
      <c r="A56" s="54" t="s">
        <v>147</v>
      </c>
      <c r="B56" s="54" t="s">
        <v>57</v>
      </c>
      <c r="C56" s="54" t="s">
        <v>1041</v>
      </c>
    </row>
    <row r="57">
      <c r="A57" s="54" t="s">
        <v>148</v>
      </c>
      <c r="B57" s="54" t="s">
        <v>149</v>
      </c>
      <c r="C57" s="54" t="s">
        <v>1047</v>
      </c>
    </row>
    <row r="58">
      <c r="A58" s="54" t="s">
        <v>150</v>
      </c>
      <c r="B58" s="54" t="s">
        <v>151</v>
      </c>
      <c r="C58" s="54" t="s">
        <v>1049</v>
      </c>
    </row>
    <row r="59">
      <c r="A59" s="54" t="s">
        <v>152</v>
      </c>
      <c r="B59" s="54" t="s">
        <v>153</v>
      </c>
      <c r="C59" s="54" t="s">
        <v>1055</v>
      </c>
    </row>
    <row r="60">
      <c r="A60" s="54" t="s">
        <v>154</v>
      </c>
      <c r="B60" s="54" t="s">
        <v>155</v>
      </c>
      <c r="C60" s="54" t="s">
        <v>1046</v>
      </c>
    </row>
    <row r="61">
      <c r="A61" s="54" t="s">
        <v>156</v>
      </c>
      <c r="B61" s="54" t="s">
        <v>157</v>
      </c>
      <c r="C61" s="54" t="s">
        <v>1044</v>
      </c>
    </row>
    <row r="62">
      <c r="A62" s="54" t="s">
        <v>158</v>
      </c>
      <c r="B62" s="54" t="s">
        <v>159</v>
      </c>
    </row>
    <row r="63">
      <c r="A63" s="54" t="s">
        <v>160</v>
      </c>
      <c r="B63" s="54" t="s">
        <v>161</v>
      </c>
      <c r="C63" s="54" t="s">
        <v>1049</v>
      </c>
    </row>
    <row r="64">
      <c r="A64" s="54" t="s">
        <v>162</v>
      </c>
      <c r="B64" s="54" t="s">
        <v>24</v>
      </c>
      <c r="C64" s="54" t="s">
        <v>1044</v>
      </c>
    </row>
    <row r="65">
      <c r="A65" s="54" t="s">
        <v>163</v>
      </c>
      <c r="B65" s="54" t="s">
        <v>73</v>
      </c>
    </row>
    <row r="66">
      <c r="A66" s="54" t="s">
        <v>164</v>
      </c>
      <c r="B66" s="54" t="s">
        <v>165</v>
      </c>
      <c r="C66" s="54" t="s">
        <v>1039</v>
      </c>
    </row>
    <row r="67">
      <c r="A67" s="54" t="s">
        <v>166</v>
      </c>
      <c r="B67" s="54" t="s">
        <v>167</v>
      </c>
      <c r="C67" s="54" t="s">
        <v>1039</v>
      </c>
    </row>
    <row r="68">
      <c r="A68" s="54" t="s">
        <v>168</v>
      </c>
      <c r="B68" s="54" t="s">
        <v>169</v>
      </c>
      <c r="C68" s="54" t="s">
        <v>1041</v>
      </c>
    </row>
    <row r="69">
      <c r="A69" s="54" t="s">
        <v>170</v>
      </c>
      <c r="B69" s="54" t="s">
        <v>167</v>
      </c>
      <c r="C69" s="54" t="s">
        <v>1057</v>
      </c>
    </row>
    <row r="70">
      <c r="A70" s="54" t="s">
        <v>171</v>
      </c>
      <c r="B70" s="54" t="s">
        <v>66</v>
      </c>
      <c r="C70" s="54" t="s">
        <v>1041</v>
      </c>
    </row>
    <row r="71">
      <c r="A71" s="54" t="s">
        <v>172</v>
      </c>
      <c r="B71" s="54" t="s">
        <v>173</v>
      </c>
      <c r="C71" s="54" t="s">
        <v>1039</v>
      </c>
    </row>
    <row r="72">
      <c r="A72" s="54" t="s">
        <v>174</v>
      </c>
      <c r="B72" s="54" t="s">
        <v>176</v>
      </c>
      <c r="C72" s="54" t="s">
        <v>1052</v>
      </c>
    </row>
    <row r="73">
      <c r="A73" s="54" t="s">
        <v>177</v>
      </c>
      <c r="B73" s="54" t="s">
        <v>178</v>
      </c>
      <c r="C73" s="54" t="s">
        <v>1038</v>
      </c>
    </row>
    <row r="74">
      <c r="A74" s="54" t="s">
        <v>179</v>
      </c>
      <c r="B74" s="54" t="s">
        <v>146</v>
      </c>
      <c r="C74" s="54" t="s">
        <v>1041</v>
      </c>
    </row>
    <row r="75">
      <c r="A75" s="54" t="s">
        <v>180</v>
      </c>
      <c r="B75" s="54" t="s">
        <v>181</v>
      </c>
      <c r="C75" s="54" t="s">
        <v>1048</v>
      </c>
    </row>
    <row r="76">
      <c r="A76" s="64" t="s">
        <v>182</v>
      </c>
      <c r="B76" s="54" t="s">
        <v>178</v>
      </c>
      <c r="C76" s="54" t="s">
        <v>1046</v>
      </c>
    </row>
    <row r="77">
      <c r="A77" s="64" t="s">
        <v>183</v>
      </c>
      <c r="B77" s="54" t="s">
        <v>155</v>
      </c>
      <c r="C77" s="54" t="s">
        <v>1046</v>
      </c>
    </row>
    <row r="78">
      <c r="A78" s="64" t="s">
        <v>184</v>
      </c>
      <c r="B78" s="54" t="s">
        <v>185</v>
      </c>
      <c r="C78" s="54" t="s">
        <v>1057</v>
      </c>
    </row>
    <row r="79">
      <c r="A79" s="54" t="s">
        <v>186</v>
      </c>
      <c r="B79" s="54" t="s">
        <v>187</v>
      </c>
      <c r="C79" s="54" t="s">
        <v>1049</v>
      </c>
    </row>
    <row r="80">
      <c r="A80" s="54" t="s">
        <v>188</v>
      </c>
      <c r="B80" s="54" t="s">
        <v>189</v>
      </c>
      <c r="C80" s="54" t="s">
        <v>1038</v>
      </c>
    </row>
    <row r="81">
      <c r="A81" s="54" t="s">
        <v>190</v>
      </c>
      <c r="B81" s="54" t="s">
        <v>66</v>
      </c>
    </row>
    <row r="82">
      <c r="A82" s="54" t="s">
        <v>191</v>
      </c>
      <c r="B82" s="54" t="s">
        <v>131</v>
      </c>
      <c r="C82" s="54" t="s">
        <v>1040</v>
      </c>
    </row>
    <row r="83">
      <c r="A83" s="54" t="s">
        <v>192</v>
      </c>
      <c r="B83" s="54" t="s">
        <v>193</v>
      </c>
      <c r="C83" s="54" t="s">
        <v>1058</v>
      </c>
    </row>
    <row r="84">
      <c r="A84" s="54" t="s">
        <v>194</v>
      </c>
      <c r="B84" s="54" t="s">
        <v>195</v>
      </c>
      <c r="C84" s="54" t="s">
        <v>1059</v>
      </c>
    </row>
    <row r="85">
      <c r="A85" s="54" t="s">
        <v>196</v>
      </c>
      <c r="B85" s="54" t="s">
        <v>146</v>
      </c>
      <c r="C85" s="54" t="s">
        <v>1060</v>
      </c>
    </row>
    <row r="86">
      <c r="A86" s="54" t="s">
        <v>197</v>
      </c>
      <c r="B86" s="54" t="s">
        <v>92</v>
      </c>
      <c r="C86" s="54" t="s">
        <v>1041</v>
      </c>
    </row>
    <row r="87">
      <c r="A87" s="54" t="s">
        <v>198</v>
      </c>
      <c r="B87" s="54" t="s">
        <v>123</v>
      </c>
      <c r="C87" s="54" t="s">
        <v>1044</v>
      </c>
    </row>
    <row r="88">
      <c r="A88" s="54" t="s">
        <v>199</v>
      </c>
      <c r="B88" s="54" t="s">
        <v>83</v>
      </c>
      <c r="C88" s="54" t="s">
        <v>1056</v>
      </c>
    </row>
    <row r="89">
      <c r="A89" s="54" t="s">
        <v>200</v>
      </c>
      <c r="B89" s="54" t="s">
        <v>201</v>
      </c>
      <c r="C89" s="54" t="s">
        <v>1039</v>
      </c>
    </row>
    <row r="90">
      <c r="A90" s="54" t="s">
        <v>202</v>
      </c>
      <c r="B90" s="54" t="s">
        <v>83</v>
      </c>
      <c r="C90" s="54" t="s">
        <v>1041</v>
      </c>
    </row>
    <row r="91">
      <c r="A91" s="54" t="s">
        <v>203</v>
      </c>
      <c r="B91" s="54" t="s">
        <v>24</v>
      </c>
      <c r="C91" s="54" t="s">
        <v>1044</v>
      </c>
    </row>
    <row r="92">
      <c r="A92" s="54" t="s">
        <v>205</v>
      </c>
      <c r="B92" s="54" t="s">
        <v>131</v>
      </c>
      <c r="C92" s="54" t="s">
        <v>1039</v>
      </c>
    </row>
    <row r="93">
      <c r="A93" s="54" t="s">
        <v>206</v>
      </c>
      <c r="B93" s="54" t="s">
        <v>207</v>
      </c>
      <c r="C93" s="54" t="s">
        <v>1061</v>
      </c>
    </row>
    <row r="94">
      <c r="A94" s="54" t="s">
        <v>208</v>
      </c>
      <c r="B94" s="54" t="s">
        <v>209</v>
      </c>
      <c r="C94" s="54" t="s">
        <v>1062</v>
      </c>
    </row>
    <row r="95">
      <c r="A95" s="54" t="s">
        <v>210</v>
      </c>
      <c r="B95" s="54" t="s">
        <v>212</v>
      </c>
      <c r="C95" s="54" t="s">
        <v>1041</v>
      </c>
    </row>
    <row r="96">
      <c r="A96" s="54" t="s">
        <v>213</v>
      </c>
      <c r="B96" s="54" t="s">
        <v>83</v>
      </c>
    </row>
    <row r="97">
      <c r="A97" s="54" t="s">
        <v>214</v>
      </c>
      <c r="B97" s="54" t="s">
        <v>215</v>
      </c>
      <c r="C97" s="54" t="s">
        <v>1047</v>
      </c>
    </row>
    <row r="98">
      <c r="A98" s="54" t="s">
        <v>216</v>
      </c>
      <c r="B98" s="54" t="s">
        <v>218</v>
      </c>
      <c r="C98" s="54" t="s">
        <v>1063</v>
      </c>
    </row>
    <row r="99">
      <c r="A99" s="54" t="s">
        <v>983</v>
      </c>
      <c r="B99" s="54" t="s">
        <v>221</v>
      </c>
    </row>
    <row r="100">
      <c r="A100" s="54" t="s">
        <v>222</v>
      </c>
      <c r="B100" s="54" t="s">
        <v>151</v>
      </c>
      <c r="C100" s="54" t="s">
        <v>1045</v>
      </c>
    </row>
    <row r="101">
      <c r="A101" s="54" t="s">
        <v>223</v>
      </c>
      <c r="B101" s="54" t="s">
        <v>224</v>
      </c>
      <c r="C101" s="54" t="s">
        <v>1056</v>
      </c>
    </row>
    <row r="102">
      <c r="A102" s="54" t="s">
        <v>225</v>
      </c>
      <c r="B102" s="54" t="s">
        <v>155</v>
      </c>
      <c r="C102" s="54" t="s">
        <v>1049</v>
      </c>
    </row>
    <row r="103">
      <c r="A103" s="54" t="s">
        <v>226</v>
      </c>
      <c r="B103" s="54" t="s">
        <v>125</v>
      </c>
      <c r="C103" s="54" t="s">
        <v>1044</v>
      </c>
    </row>
    <row r="104">
      <c r="A104" s="54" t="s">
        <v>227</v>
      </c>
      <c r="B104" s="54" t="s">
        <v>228</v>
      </c>
      <c r="C104" s="54" t="s">
        <v>1041</v>
      </c>
    </row>
    <row r="105">
      <c r="A105" s="54" t="s">
        <v>229</v>
      </c>
      <c r="B105" s="54" t="s">
        <v>131</v>
      </c>
      <c r="C105" s="54" t="s">
        <v>1057</v>
      </c>
    </row>
    <row r="106">
      <c r="A106" s="54" t="s">
        <v>230</v>
      </c>
      <c r="B106" s="54" t="s">
        <v>231</v>
      </c>
      <c r="C106" s="54" t="s">
        <v>1057</v>
      </c>
    </row>
    <row r="107">
      <c r="A107" s="54" t="s">
        <v>232</v>
      </c>
      <c r="B107" s="54" t="s">
        <v>83</v>
      </c>
      <c r="C107" s="54" t="s">
        <v>1048</v>
      </c>
    </row>
    <row r="108">
      <c r="A108" s="54" t="s">
        <v>233</v>
      </c>
      <c r="B108" s="54" t="s">
        <v>167</v>
      </c>
      <c r="C108" s="54" t="s">
        <v>1042</v>
      </c>
    </row>
    <row r="109">
      <c r="A109" s="63" t="s">
        <v>234</v>
      </c>
      <c r="B109" s="54" t="s">
        <v>83</v>
      </c>
      <c r="C109" s="54" t="s">
        <v>1039</v>
      </c>
    </row>
    <row r="110">
      <c r="A110" s="54" t="s">
        <v>235</v>
      </c>
      <c r="B110" s="54" t="s">
        <v>236</v>
      </c>
      <c r="C110" s="54" t="s">
        <v>1047</v>
      </c>
    </row>
    <row r="111">
      <c r="A111" s="54" t="s">
        <v>237</v>
      </c>
      <c r="B111" s="54" t="s">
        <v>88</v>
      </c>
      <c r="C111" s="54" t="s">
        <v>1055</v>
      </c>
    </row>
    <row r="112">
      <c r="A112" s="54" t="s">
        <v>238</v>
      </c>
      <c r="B112" s="54" t="s">
        <v>131</v>
      </c>
      <c r="C112" s="54" t="s">
        <v>1048</v>
      </c>
    </row>
    <row r="113">
      <c r="A113" s="54" t="s">
        <v>239</v>
      </c>
      <c r="B113" s="54" t="s">
        <v>73</v>
      </c>
      <c r="C113" s="54" t="s">
        <v>1056</v>
      </c>
    </row>
    <row r="114">
      <c r="A114" s="54" t="s">
        <v>240</v>
      </c>
      <c r="B114" s="54" t="s">
        <v>100</v>
      </c>
      <c r="C114" s="54" t="s">
        <v>1041</v>
      </c>
    </row>
    <row r="115">
      <c r="A115" s="54" t="s">
        <v>241</v>
      </c>
      <c r="B115" s="54" t="s">
        <v>242</v>
      </c>
      <c r="C115" s="54" t="s">
        <v>1063</v>
      </c>
    </row>
    <row r="116">
      <c r="A116" s="54" t="s">
        <v>243</v>
      </c>
      <c r="B116" s="54" t="s">
        <v>92</v>
      </c>
      <c r="C116" s="54" t="s">
        <v>1041</v>
      </c>
    </row>
    <row r="117">
      <c r="A117" s="54" t="s">
        <v>244</v>
      </c>
      <c r="B117" s="54" t="s">
        <v>24</v>
      </c>
      <c r="C117" s="54" t="s">
        <v>1039</v>
      </c>
    </row>
    <row r="118">
      <c r="A118" s="54" t="s">
        <v>245</v>
      </c>
      <c r="B118" s="54" t="s">
        <v>246</v>
      </c>
      <c r="C118" s="54" t="s">
        <v>1064</v>
      </c>
    </row>
    <row r="119">
      <c r="A119" s="54" t="s">
        <v>247</v>
      </c>
      <c r="B119" s="54" t="s">
        <v>248</v>
      </c>
      <c r="C119" s="54" t="s">
        <v>1059</v>
      </c>
    </row>
    <row r="120">
      <c r="A120" s="54" t="s">
        <v>249</v>
      </c>
      <c r="B120" s="54" t="s">
        <v>40</v>
      </c>
      <c r="C120" s="54" t="s">
        <v>1049</v>
      </c>
    </row>
    <row r="121">
      <c r="A121" s="54" t="s">
        <v>250</v>
      </c>
      <c r="B121" s="54" t="s">
        <v>251</v>
      </c>
    </row>
    <row r="122">
      <c r="A122" s="54" t="s">
        <v>252</v>
      </c>
      <c r="B122" s="54" t="s">
        <v>253</v>
      </c>
      <c r="C122" s="54" t="s">
        <v>1060</v>
      </c>
    </row>
    <row r="123">
      <c r="A123" s="54" t="s">
        <v>254</v>
      </c>
      <c r="B123" s="54" t="s">
        <v>155</v>
      </c>
      <c r="C123" s="54" t="s">
        <v>1039</v>
      </c>
    </row>
    <row r="124">
      <c r="A124" s="54" t="s">
        <v>255</v>
      </c>
      <c r="B124" s="54" t="s">
        <v>157</v>
      </c>
      <c r="C124" s="54" t="s">
        <v>1039</v>
      </c>
    </row>
    <row r="125">
      <c r="A125" s="54" t="s">
        <v>256</v>
      </c>
      <c r="B125" s="54" t="s">
        <v>131</v>
      </c>
      <c r="C125" s="54" t="s">
        <v>1042</v>
      </c>
    </row>
    <row r="126">
      <c r="A126" s="54" t="s">
        <v>257</v>
      </c>
      <c r="B126" s="54" t="s">
        <v>59</v>
      </c>
      <c r="C126" s="54" t="s">
        <v>1060</v>
      </c>
    </row>
    <row r="127">
      <c r="A127" s="54" t="s">
        <v>258</v>
      </c>
      <c r="B127" s="54" t="s">
        <v>259</v>
      </c>
      <c r="C127" s="54" t="s">
        <v>1038</v>
      </c>
    </row>
    <row r="128">
      <c r="A128" s="54" t="s">
        <v>260</v>
      </c>
      <c r="B128" s="54" t="s">
        <v>167</v>
      </c>
      <c r="C128" s="54" t="s">
        <v>1039</v>
      </c>
    </row>
    <row r="129">
      <c r="A129" s="54" t="s">
        <v>261</v>
      </c>
      <c r="B129" s="54" t="s">
        <v>131</v>
      </c>
      <c r="C129" s="54" t="s">
        <v>1063</v>
      </c>
    </row>
    <row r="130">
      <c r="A130" s="54" t="s">
        <v>262</v>
      </c>
      <c r="B130" s="54" t="s">
        <v>61</v>
      </c>
      <c r="C130" s="54" t="s">
        <v>1056</v>
      </c>
    </row>
    <row r="131">
      <c r="A131" s="54" t="s">
        <v>263</v>
      </c>
      <c r="B131" s="54" t="s">
        <v>24</v>
      </c>
      <c r="C131" s="54" t="s">
        <v>1044</v>
      </c>
    </row>
    <row r="132">
      <c r="A132" s="54" t="s">
        <v>264</v>
      </c>
      <c r="B132" s="54" t="s">
        <v>119</v>
      </c>
    </row>
    <row r="133">
      <c r="A133" s="54" t="s">
        <v>265</v>
      </c>
      <c r="B133" s="54" t="s">
        <v>224</v>
      </c>
      <c r="C133" s="54" t="s">
        <v>1057</v>
      </c>
    </row>
    <row r="134">
      <c r="A134" s="54" t="s">
        <v>266</v>
      </c>
      <c r="B134" s="54" t="s">
        <v>267</v>
      </c>
      <c r="C134" s="54" t="s">
        <v>1039</v>
      </c>
    </row>
    <row r="135">
      <c r="A135" s="54" t="s">
        <v>268</v>
      </c>
      <c r="B135" s="54" t="s">
        <v>269</v>
      </c>
      <c r="C135" s="54" t="s">
        <v>1039</v>
      </c>
    </row>
    <row r="136">
      <c r="A136" s="54" t="s">
        <v>270</v>
      </c>
      <c r="B136" s="54" t="s">
        <v>271</v>
      </c>
      <c r="C136" s="54" t="s">
        <v>1046</v>
      </c>
    </row>
    <row r="137">
      <c r="A137" s="54" t="s">
        <v>272</v>
      </c>
      <c r="B137" s="54" t="s">
        <v>273</v>
      </c>
      <c r="C137" s="54" t="s">
        <v>1049</v>
      </c>
    </row>
    <row r="138">
      <c r="A138" s="54" t="s">
        <v>274</v>
      </c>
      <c r="B138" s="54" t="s">
        <v>131</v>
      </c>
      <c r="C138" s="54" t="s">
        <v>1048</v>
      </c>
    </row>
    <row r="139">
      <c r="A139" s="54" t="s">
        <v>275</v>
      </c>
      <c r="B139" s="54" t="s">
        <v>276</v>
      </c>
      <c r="C139" s="54" t="s">
        <v>1039</v>
      </c>
    </row>
    <row r="140">
      <c r="A140" s="54" t="s">
        <v>278</v>
      </c>
      <c r="B140" s="54" t="s">
        <v>53</v>
      </c>
      <c r="C140" s="54" t="s">
        <v>1063</v>
      </c>
    </row>
    <row r="141">
      <c r="A141" s="54" t="s">
        <v>279</v>
      </c>
      <c r="B141" s="54" t="s">
        <v>280</v>
      </c>
      <c r="C141" s="54" t="s">
        <v>1047</v>
      </c>
    </row>
    <row r="142">
      <c r="A142" s="54" t="s">
        <v>281</v>
      </c>
      <c r="B142" s="54" t="s">
        <v>282</v>
      </c>
      <c r="C142" s="54" t="s">
        <v>1038</v>
      </c>
    </row>
    <row r="143">
      <c r="A143" s="54" t="s">
        <v>283</v>
      </c>
      <c r="B143" s="54" t="s">
        <v>284</v>
      </c>
      <c r="C143" s="54" t="s">
        <v>1040</v>
      </c>
    </row>
    <row r="144">
      <c r="A144" s="54" t="s">
        <v>285</v>
      </c>
      <c r="B144" s="54" t="s">
        <v>286</v>
      </c>
      <c r="C144" s="54" t="s">
        <v>1039</v>
      </c>
    </row>
    <row r="145">
      <c r="A145" s="54" t="s">
        <v>287</v>
      </c>
      <c r="B145" s="54" t="s">
        <v>228</v>
      </c>
      <c r="C145" s="54" t="s">
        <v>1041</v>
      </c>
    </row>
    <row r="146">
      <c r="A146" s="54" t="s">
        <v>288</v>
      </c>
      <c r="B146" s="54" t="s">
        <v>289</v>
      </c>
      <c r="C146" s="54" t="s">
        <v>1038</v>
      </c>
    </row>
    <row r="147">
      <c r="A147" s="54" t="s">
        <v>290</v>
      </c>
      <c r="B147" s="54" t="s">
        <v>291</v>
      </c>
      <c r="C147" s="54" t="s">
        <v>1061</v>
      </c>
    </row>
    <row r="148">
      <c r="A148" s="54" t="s">
        <v>292</v>
      </c>
      <c r="B148" s="54" t="s">
        <v>31</v>
      </c>
      <c r="C148" s="54" t="s">
        <v>1051</v>
      </c>
    </row>
    <row r="149">
      <c r="A149" s="54" t="s">
        <v>293</v>
      </c>
      <c r="B149" s="54" t="s">
        <v>151</v>
      </c>
      <c r="C149" s="54" t="s">
        <v>1065</v>
      </c>
    </row>
    <row r="150">
      <c r="A150" s="54" t="s">
        <v>294</v>
      </c>
      <c r="B150" s="54" t="s">
        <v>131</v>
      </c>
      <c r="C150" s="54" t="s">
        <v>1038</v>
      </c>
    </row>
    <row r="151">
      <c r="A151" s="54" t="s">
        <v>295</v>
      </c>
      <c r="B151" s="54" t="s">
        <v>296</v>
      </c>
      <c r="C151" s="54" t="s">
        <v>1039</v>
      </c>
    </row>
    <row r="152">
      <c r="A152" s="54" t="s">
        <v>297</v>
      </c>
      <c r="B152" s="54" t="s">
        <v>298</v>
      </c>
      <c r="C152" s="54" t="s">
        <v>1042</v>
      </c>
    </row>
    <row r="153">
      <c r="A153" s="54" t="s">
        <v>299</v>
      </c>
      <c r="B153" s="54" t="s">
        <v>151</v>
      </c>
      <c r="C153" s="54" t="s">
        <v>1041</v>
      </c>
    </row>
    <row r="154">
      <c r="A154" s="54" t="s">
        <v>300</v>
      </c>
      <c r="B154" s="54" t="s">
        <v>301</v>
      </c>
      <c r="C154" s="54" t="s">
        <v>1053</v>
      </c>
    </row>
    <row r="155">
      <c r="A155" s="54" t="s">
        <v>302</v>
      </c>
      <c r="B155" s="54" t="s">
        <v>269</v>
      </c>
      <c r="C155" s="54" t="s">
        <v>1038</v>
      </c>
    </row>
    <row r="156">
      <c r="A156" s="54" t="s">
        <v>303</v>
      </c>
      <c r="B156" s="54" t="s">
        <v>73</v>
      </c>
      <c r="C156" s="54" t="s">
        <v>1056</v>
      </c>
    </row>
    <row r="157">
      <c r="A157" s="54" t="s">
        <v>304</v>
      </c>
      <c r="B157" s="54" t="s">
        <v>306</v>
      </c>
      <c r="C157" s="54" t="s">
        <v>1039</v>
      </c>
    </row>
    <row r="158">
      <c r="A158" s="54" t="s">
        <v>307</v>
      </c>
      <c r="B158" s="54" t="s">
        <v>308</v>
      </c>
      <c r="C158" s="54" t="s">
        <v>1054</v>
      </c>
    </row>
    <row r="159">
      <c r="A159" s="54" t="s">
        <v>309</v>
      </c>
      <c r="B159" s="54" t="s">
        <v>310</v>
      </c>
      <c r="C159" s="54" t="s">
        <v>1043</v>
      </c>
    </row>
    <row r="160">
      <c r="A160" s="54" t="s">
        <v>311</v>
      </c>
      <c r="B160" s="54" t="s">
        <v>83</v>
      </c>
      <c r="C160" s="54" t="s">
        <v>1041</v>
      </c>
    </row>
    <row r="161">
      <c r="A161" s="54" t="s">
        <v>312</v>
      </c>
      <c r="B161" s="54" t="s">
        <v>313</v>
      </c>
      <c r="C161" s="54" t="s">
        <v>1054</v>
      </c>
    </row>
    <row r="162">
      <c r="A162" s="54" t="s">
        <v>314</v>
      </c>
      <c r="B162" s="54" t="s">
        <v>315</v>
      </c>
      <c r="C162" s="54" t="s">
        <v>1041</v>
      </c>
    </row>
    <row r="163">
      <c r="A163" s="54" t="s">
        <v>316</v>
      </c>
      <c r="B163" s="54" t="s">
        <v>317</v>
      </c>
      <c r="C163" s="54" t="s">
        <v>1046</v>
      </c>
    </row>
    <row r="164">
      <c r="A164" s="54" t="s">
        <v>318</v>
      </c>
      <c r="B164" s="54" t="s">
        <v>319</v>
      </c>
      <c r="C164" s="54" t="s">
        <v>1039</v>
      </c>
    </row>
    <row r="165">
      <c r="A165" s="54" t="s">
        <v>320</v>
      </c>
      <c r="B165" s="54" t="s">
        <v>321</v>
      </c>
      <c r="C165" s="54" t="s">
        <v>1045</v>
      </c>
    </row>
    <row r="166">
      <c r="A166" s="54" t="s">
        <v>322</v>
      </c>
      <c r="B166" s="54" t="s">
        <v>323</v>
      </c>
      <c r="C166" s="54" t="s">
        <v>1044</v>
      </c>
    </row>
    <row r="167">
      <c r="A167" s="54" t="s">
        <v>324</v>
      </c>
      <c r="B167" s="54" t="s">
        <v>325</v>
      </c>
      <c r="C167" s="54" t="s">
        <v>1042</v>
      </c>
    </row>
    <row r="168">
      <c r="A168" s="54" t="s">
        <v>326</v>
      </c>
      <c r="B168" s="54" t="s">
        <v>73</v>
      </c>
      <c r="C168" s="54" t="s">
        <v>1039</v>
      </c>
    </row>
    <row r="169">
      <c r="A169" s="54" t="s">
        <v>327</v>
      </c>
      <c r="B169" s="54" t="s">
        <v>328</v>
      </c>
      <c r="C169" s="54" t="s">
        <v>1039</v>
      </c>
    </row>
    <row r="170">
      <c r="A170" s="54" t="s">
        <v>329</v>
      </c>
      <c r="B170" s="54" t="s">
        <v>66</v>
      </c>
      <c r="C170" s="54" t="s">
        <v>1055</v>
      </c>
    </row>
    <row r="171">
      <c r="A171" s="54" t="s">
        <v>330</v>
      </c>
      <c r="B171" s="54" t="s">
        <v>331</v>
      </c>
      <c r="C171" s="54" t="s">
        <v>1039</v>
      </c>
    </row>
    <row r="172">
      <c r="A172" s="54" t="s">
        <v>332</v>
      </c>
      <c r="B172" s="54" t="s">
        <v>24</v>
      </c>
      <c r="C172" s="54" t="s">
        <v>1044</v>
      </c>
    </row>
    <row r="173">
      <c r="A173" s="54" t="s">
        <v>333</v>
      </c>
      <c r="B173" s="54" t="s">
        <v>51</v>
      </c>
      <c r="C173" s="54" t="s">
        <v>1047</v>
      </c>
    </row>
    <row r="174">
      <c r="A174" s="54" t="s">
        <v>334</v>
      </c>
      <c r="B174" s="54" t="s">
        <v>83</v>
      </c>
      <c r="C174" s="54" t="s">
        <v>1039</v>
      </c>
    </row>
    <row r="175">
      <c r="A175" s="54" t="s">
        <v>335</v>
      </c>
      <c r="B175" s="54" t="s">
        <v>336</v>
      </c>
      <c r="C175" s="54" t="s">
        <v>1044</v>
      </c>
    </row>
    <row r="176">
      <c r="A176" s="54" t="s">
        <v>337</v>
      </c>
      <c r="B176" s="54" t="s">
        <v>83</v>
      </c>
      <c r="C176" s="54" t="s">
        <v>1039</v>
      </c>
    </row>
    <row r="177">
      <c r="A177" s="54" t="s">
        <v>338</v>
      </c>
      <c r="B177" s="54" t="s">
        <v>339</v>
      </c>
      <c r="C177" s="54" t="s">
        <v>1056</v>
      </c>
    </row>
    <row r="178">
      <c r="A178" s="54" t="s">
        <v>340</v>
      </c>
      <c r="B178" s="54" t="s">
        <v>341</v>
      </c>
      <c r="C178" s="54" t="s">
        <v>1051</v>
      </c>
    </row>
    <row r="179">
      <c r="A179" s="54" t="s">
        <v>342</v>
      </c>
      <c r="B179" s="54" t="s">
        <v>343</v>
      </c>
      <c r="C179" s="54" t="s">
        <v>1039</v>
      </c>
    </row>
    <row r="180">
      <c r="A180" s="54" t="s">
        <v>344</v>
      </c>
      <c r="B180" s="54" t="s">
        <v>31</v>
      </c>
      <c r="C180" s="54" t="s">
        <v>1060</v>
      </c>
    </row>
    <row r="181">
      <c r="A181" s="54" t="s">
        <v>345</v>
      </c>
      <c r="B181" s="54" t="s">
        <v>319</v>
      </c>
      <c r="C181" s="54" t="s">
        <v>1039</v>
      </c>
    </row>
    <row r="182">
      <c r="A182" s="54" t="s">
        <v>346</v>
      </c>
      <c r="B182" s="54" t="s">
        <v>155</v>
      </c>
      <c r="C182" s="54" t="s">
        <v>1064</v>
      </c>
    </row>
    <row r="183">
      <c r="A183" s="54" t="s">
        <v>347</v>
      </c>
      <c r="B183" s="54" t="s">
        <v>236</v>
      </c>
      <c r="C183" s="54" t="s">
        <v>1066</v>
      </c>
    </row>
    <row r="184">
      <c r="A184" s="54" t="s">
        <v>348</v>
      </c>
      <c r="B184" s="54" t="s">
        <v>349</v>
      </c>
      <c r="C184" s="54" t="s">
        <v>1044</v>
      </c>
    </row>
    <row r="185">
      <c r="A185" s="54" t="s">
        <v>350</v>
      </c>
      <c r="B185" s="54" t="s">
        <v>131</v>
      </c>
      <c r="C185" s="54" t="s">
        <v>1041</v>
      </c>
    </row>
    <row r="186">
      <c r="A186" s="54" t="s">
        <v>351</v>
      </c>
      <c r="B186" s="54" t="s">
        <v>352</v>
      </c>
      <c r="C186" s="54" t="s">
        <v>1049</v>
      </c>
    </row>
    <row r="187">
      <c r="A187" s="54" t="s">
        <v>353</v>
      </c>
      <c r="B187" s="54" t="s">
        <v>354</v>
      </c>
      <c r="C187" s="54" t="s">
        <v>1052</v>
      </c>
    </row>
    <row r="188">
      <c r="A188" s="54" t="s">
        <v>355</v>
      </c>
      <c r="B188" s="54" t="s">
        <v>356</v>
      </c>
      <c r="C188" s="54" t="s">
        <v>1039</v>
      </c>
    </row>
    <row r="189">
      <c r="A189" s="54" t="s">
        <v>357</v>
      </c>
      <c r="B189" s="54" t="s">
        <v>358</v>
      </c>
      <c r="C189" s="54" t="s">
        <v>1054</v>
      </c>
    </row>
    <row r="190">
      <c r="A190" s="54" t="s">
        <v>359</v>
      </c>
      <c r="B190" s="54" t="s">
        <v>341</v>
      </c>
      <c r="C190" s="54" t="s">
        <v>1051</v>
      </c>
    </row>
    <row r="191">
      <c r="A191" s="54" t="s">
        <v>360</v>
      </c>
      <c r="B191" s="54" t="s">
        <v>66</v>
      </c>
      <c r="C191" s="54" t="s">
        <v>1041</v>
      </c>
    </row>
    <row r="192">
      <c r="A192" s="54" t="s">
        <v>361</v>
      </c>
      <c r="B192" s="54" t="s">
        <v>100</v>
      </c>
      <c r="C192" s="54" t="s">
        <v>1041</v>
      </c>
    </row>
    <row r="193">
      <c r="A193" s="54" t="s">
        <v>362</v>
      </c>
      <c r="B193" s="54" t="s">
        <v>363</v>
      </c>
      <c r="C193" s="54" t="s">
        <v>1048</v>
      </c>
    </row>
    <row r="194">
      <c r="A194" s="54" t="s">
        <v>364</v>
      </c>
      <c r="B194" s="54" t="s">
        <v>365</v>
      </c>
      <c r="C194" s="54" t="s">
        <v>1064</v>
      </c>
    </row>
    <row r="195">
      <c r="A195" s="54" t="s">
        <v>366</v>
      </c>
      <c r="B195" s="54" t="s">
        <v>367</v>
      </c>
      <c r="C195" s="54" t="s">
        <v>1044</v>
      </c>
    </row>
    <row r="196">
      <c r="A196" s="54" t="s">
        <v>368</v>
      </c>
      <c r="B196" s="54" t="s">
        <v>369</v>
      </c>
      <c r="C196" s="54" t="s">
        <v>1039</v>
      </c>
    </row>
    <row r="197">
      <c r="A197" s="54" t="s">
        <v>370</v>
      </c>
      <c r="B197" s="54" t="s">
        <v>248</v>
      </c>
      <c r="C197" s="54" t="s">
        <v>1053</v>
      </c>
    </row>
    <row r="198">
      <c r="A198" s="54" t="s">
        <v>371</v>
      </c>
      <c r="B198" s="54" t="s">
        <v>80</v>
      </c>
      <c r="C198" s="54" t="s">
        <v>1039</v>
      </c>
    </row>
    <row r="199">
      <c r="A199" s="54" t="s">
        <v>372</v>
      </c>
      <c r="B199" s="54" t="s">
        <v>373</v>
      </c>
      <c r="C199" s="54" t="s">
        <v>1039</v>
      </c>
    </row>
    <row r="200">
      <c r="A200" s="54" t="s">
        <v>374</v>
      </c>
      <c r="B200" s="54" t="s">
        <v>375</v>
      </c>
      <c r="C200" s="54" t="s">
        <v>1044</v>
      </c>
    </row>
    <row r="201">
      <c r="A201" s="54" t="s">
        <v>376</v>
      </c>
      <c r="B201" s="54" t="s">
        <v>291</v>
      </c>
      <c r="C201" s="54" t="s">
        <v>1054</v>
      </c>
    </row>
    <row r="202">
      <c r="A202" s="54" t="s">
        <v>377</v>
      </c>
      <c r="B202" s="54" t="s">
        <v>378</v>
      </c>
      <c r="C202" s="54" t="s">
        <v>1039</v>
      </c>
    </row>
    <row r="203">
      <c r="A203" s="54" t="s">
        <v>379</v>
      </c>
      <c r="B203" s="54" t="s">
        <v>380</v>
      </c>
      <c r="C203" s="54" t="s">
        <v>1053</v>
      </c>
    </row>
    <row r="204">
      <c r="A204" s="54" t="s">
        <v>381</v>
      </c>
      <c r="B204" s="54" t="s">
        <v>382</v>
      </c>
      <c r="C204" s="54" t="s">
        <v>1056</v>
      </c>
    </row>
    <row r="205">
      <c r="A205" s="54" t="s">
        <v>383</v>
      </c>
      <c r="B205" s="54" t="s">
        <v>319</v>
      </c>
      <c r="C205" s="54" t="s">
        <v>1039</v>
      </c>
    </row>
    <row r="206">
      <c r="A206" s="54" t="s">
        <v>384</v>
      </c>
      <c r="B206" s="54" t="s">
        <v>385</v>
      </c>
      <c r="C206" s="54" t="s">
        <v>1063</v>
      </c>
    </row>
    <row r="207">
      <c r="A207" s="54" t="s">
        <v>386</v>
      </c>
      <c r="B207" s="54" t="s">
        <v>373</v>
      </c>
      <c r="C207" s="54" t="s">
        <v>1052</v>
      </c>
    </row>
    <row r="208">
      <c r="A208" s="54" t="s">
        <v>387</v>
      </c>
      <c r="B208" s="54" t="s">
        <v>73</v>
      </c>
      <c r="C208" s="54" t="s">
        <v>1041</v>
      </c>
    </row>
    <row r="209">
      <c r="A209" s="54" t="s">
        <v>388</v>
      </c>
      <c r="B209" s="54" t="s">
        <v>389</v>
      </c>
      <c r="C209" s="54" t="s">
        <v>1041</v>
      </c>
    </row>
    <row r="210">
      <c r="A210" s="54" t="s">
        <v>390</v>
      </c>
      <c r="B210" s="54" t="s">
        <v>391</v>
      </c>
      <c r="C210" s="54" t="s">
        <v>1044</v>
      </c>
    </row>
    <row r="211">
      <c r="A211" s="54" t="s">
        <v>392</v>
      </c>
      <c r="B211" s="54" t="s">
        <v>24</v>
      </c>
      <c r="C211" s="54" t="s">
        <v>1042</v>
      </c>
    </row>
    <row r="212">
      <c r="A212" s="54" t="s">
        <v>393</v>
      </c>
      <c r="B212" s="54" t="s">
        <v>394</v>
      </c>
      <c r="C212" s="54" t="s">
        <v>1050</v>
      </c>
    </row>
    <row r="213">
      <c r="A213" s="54" t="s">
        <v>395</v>
      </c>
      <c r="B213" s="54" t="s">
        <v>73</v>
      </c>
    </row>
    <row r="214">
      <c r="A214" s="54" t="s">
        <v>396</v>
      </c>
      <c r="B214" s="54" t="s">
        <v>24</v>
      </c>
      <c r="C214" s="54" t="s">
        <v>1044</v>
      </c>
    </row>
    <row r="215">
      <c r="A215" s="54" t="s">
        <v>397</v>
      </c>
      <c r="B215" s="54" t="s">
        <v>131</v>
      </c>
    </row>
    <row r="216">
      <c r="A216" s="54" t="s">
        <v>398</v>
      </c>
      <c r="B216" s="54" t="s">
        <v>399</v>
      </c>
      <c r="C216" s="54" t="s">
        <v>1039</v>
      </c>
    </row>
    <row r="217">
      <c r="A217" s="54" t="s">
        <v>400</v>
      </c>
      <c r="B217" s="54" t="s">
        <v>401</v>
      </c>
      <c r="C217" s="54" t="s">
        <v>1040</v>
      </c>
    </row>
    <row r="218">
      <c r="A218" s="54" t="s">
        <v>402</v>
      </c>
      <c r="B218" s="54" t="s">
        <v>403</v>
      </c>
      <c r="C218" s="54" t="s">
        <v>1040</v>
      </c>
    </row>
    <row r="219">
      <c r="A219" s="54" t="s">
        <v>404</v>
      </c>
      <c r="B219" s="54" t="s">
        <v>405</v>
      </c>
      <c r="C219" s="54" t="s">
        <v>1040</v>
      </c>
    </row>
    <row r="220">
      <c r="A220" s="54" t="s">
        <v>406</v>
      </c>
      <c r="B220" s="54" t="s">
        <v>407</v>
      </c>
      <c r="C220" s="54" t="s">
        <v>1054</v>
      </c>
    </row>
    <row r="221">
      <c r="A221" s="54" t="s">
        <v>408</v>
      </c>
      <c r="B221" s="54" t="s">
        <v>407</v>
      </c>
      <c r="C221" s="54" t="s">
        <v>1038</v>
      </c>
    </row>
    <row r="222">
      <c r="A222" s="54" t="s">
        <v>409</v>
      </c>
      <c r="B222" s="54" t="s">
        <v>73</v>
      </c>
      <c r="C222" s="54" t="s">
        <v>1056</v>
      </c>
    </row>
    <row r="223">
      <c r="A223" s="54" t="s">
        <v>410</v>
      </c>
      <c r="B223" s="54" t="s">
        <v>411</v>
      </c>
      <c r="C223" s="54" t="s">
        <v>1042</v>
      </c>
    </row>
    <row r="224">
      <c r="A224" s="54" t="s">
        <v>412</v>
      </c>
      <c r="B224" s="54" t="s">
        <v>413</v>
      </c>
      <c r="C224" s="54" t="s">
        <v>1039</v>
      </c>
    </row>
    <row r="225">
      <c r="A225" s="54" t="s">
        <v>414</v>
      </c>
      <c r="B225" s="54" t="s">
        <v>131</v>
      </c>
      <c r="C225" s="54" t="s">
        <v>1041</v>
      </c>
    </row>
    <row r="226">
      <c r="A226" s="54" t="s">
        <v>415</v>
      </c>
      <c r="B226" s="54" t="s">
        <v>40</v>
      </c>
    </row>
    <row r="227">
      <c r="A227" s="54" t="s">
        <v>416</v>
      </c>
      <c r="B227" s="54" t="s">
        <v>151</v>
      </c>
      <c r="C227" s="54" t="s">
        <v>1041</v>
      </c>
    </row>
    <row r="228">
      <c r="A228" s="54" t="s">
        <v>417</v>
      </c>
      <c r="B228" s="54" t="s">
        <v>73</v>
      </c>
      <c r="C228" s="54" t="s">
        <v>1047</v>
      </c>
    </row>
    <row r="229">
      <c r="A229" s="54" t="s">
        <v>418</v>
      </c>
      <c r="B229" s="54" t="s">
        <v>100</v>
      </c>
      <c r="C229" s="54" t="s">
        <v>1041</v>
      </c>
    </row>
    <row r="230">
      <c r="A230" s="54" t="s">
        <v>419</v>
      </c>
      <c r="B230" s="54" t="s">
        <v>151</v>
      </c>
      <c r="C230" s="54" t="s">
        <v>1050</v>
      </c>
    </row>
    <row r="231">
      <c r="A231" s="54" t="s">
        <v>420</v>
      </c>
      <c r="B231" s="54" t="s">
        <v>83</v>
      </c>
      <c r="C231" s="54" t="s">
        <v>1039</v>
      </c>
    </row>
    <row r="232">
      <c r="A232" s="54" t="s">
        <v>421</v>
      </c>
      <c r="B232" s="54" t="s">
        <v>66</v>
      </c>
      <c r="C232" s="54" t="s">
        <v>1041</v>
      </c>
    </row>
    <row r="233">
      <c r="A233" s="54" t="s">
        <v>422</v>
      </c>
      <c r="B233" s="54" t="s">
        <v>83</v>
      </c>
      <c r="C233" s="54" t="s">
        <v>1039</v>
      </c>
    </row>
    <row r="234">
      <c r="A234" s="54" t="s">
        <v>423</v>
      </c>
      <c r="B234" s="54" t="s">
        <v>424</v>
      </c>
      <c r="C234" s="54" t="s">
        <v>1056</v>
      </c>
    </row>
    <row r="235">
      <c r="A235" s="54" t="s">
        <v>425</v>
      </c>
      <c r="B235" s="54" t="s">
        <v>100</v>
      </c>
      <c r="C235" s="54" t="s">
        <v>1044</v>
      </c>
    </row>
    <row r="236">
      <c r="A236" s="54" t="s">
        <v>426</v>
      </c>
      <c r="B236" s="54" t="s">
        <v>427</v>
      </c>
      <c r="C236" s="54" t="s">
        <v>1039</v>
      </c>
    </row>
    <row r="237">
      <c r="A237" s="54" t="s">
        <v>428</v>
      </c>
      <c r="B237" s="54" t="s">
        <v>429</v>
      </c>
      <c r="C237" s="54" t="s">
        <v>1042</v>
      </c>
    </row>
    <row r="238">
      <c r="A238" s="54" t="s">
        <v>430</v>
      </c>
      <c r="B238" s="54" t="s">
        <v>131</v>
      </c>
    </row>
    <row r="239">
      <c r="A239" s="54" t="s">
        <v>431</v>
      </c>
      <c r="B239" s="54" t="s">
        <v>413</v>
      </c>
      <c r="C239" s="54" t="s">
        <v>1044</v>
      </c>
    </row>
    <row r="240">
      <c r="A240" s="54" t="s">
        <v>432</v>
      </c>
      <c r="B240" s="54" t="s">
        <v>433</v>
      </c>
      <c r="C240" s="54" t="s">
        <v>1039</v>
      </c>
    </row>
    <row r="241">
      <c r="A241" s="54" t="s">
        <v>434</v>
      </c>
      <c r="B241" s="54" t="s">
        <v>435</v>
      </c>
      <c r="C241" s="54" t="s">
        <v>1042</v>
      </c>
    </row>
    <row r="242">
      <c r="A242" s="54" t="s">
        <v>436</v>
      </c>
      <c r="B242" s="54" t="s">
        <v>437</v>
      </c>
      <c r="C242" s="54" t="s">
        <v>1039</v>
      </c>
    </row>
    <row r="243">
      <c r="A243" s="54" t="s">
        <v>438</v>
      </c>
      <c r="B243" s="54" t="s">
        <v>439</v>
      </c>
      <c r="C243" s="54" t="s">
        <v>1063</v>
      </c>
    </row>
    <row r="244">
      <c r="A244" s="54" t="s">
        <v>440</v>
      </c>
      <c r="B244" s="54" t="s">
        <v>92</v>
      </c>
      <c r="C244" s="54" t="s">
        <v>1041</v>
      </c>
    </row>
    <row r="245">
      <c r="A245" s="54" t="s">
        <v>441</v>
      </c>
      <c r="B245" s="54" t="s">
        <v>83</v>
      </c>
      <c r="C245" s="54" t="s">
        <v>1044</v>
      </c>
    </row>
    <row r="246">
      <c r="A246" s="54" t="s">
        <v>442</v>
      </c>
      <c r="B246" s="54" t="s">
        <v>443</v>
      </c>
      <c r="C246" s="54" t="s">
        <v>1046</v>
      </c>
    </row>
    <row r="247">
      <c r="A247" s="54" t="s">
        <v>444</v>
      </c>
      <c r="B247" s="54" t="s">
        <v>100</v>
      </c>
      <c r="C247" s="54" t="s">
        <v>1041</v>
      </c>
    </row>
    <row r="248">
      <c r="A248" s="54" t="s">
        <v>445</v>
      </c>
      <c r="B248" s="54" t="s">
        <v>446</v>
      </c>
      <c r="C248" s="54" t="s">
        <v>1038</v>
      </c>
    </row>
    <row r="249">
      <c r="A249" s="54" t="s">
        <v>447</v>
      </c>
      <c r="B249" s="54" t="s">
        <v>169</v>
      </c>
      <c r="C249" s="54" t="s">
        <v>1041</v>
      </c>
    </row>
    <row r="250">
      <c r="A250" s="54" t="s">
        <v>448</v>
      </c>
      <c r="B250" s="54" t="s">
        <v>449</v>
      </c>
      <c r="C250" s="54" t="s">
        <v>1042</v>
      </c>
    </row>
    <row r="251">
      <c r="A251" s="54" t="s">
        <v>451</v>
      </c>
      <c r="B251" s="54" t="s">
        <v>317</v>
      </c>
      <c r="C251" s="54" t="s">
        <v>1039</v>
      </c>
    </row>
    <row r="252">
      <c r="A252" s="54" t="s">
        <v>452</v>
      </c>
      <c r="B252" s="54" t="s">
        <v>131</v>
      </c>
      <c r="C252" s="54" t="s">
        <v>1039</v>
      </c>
    </row>
    <row r="253">
      <c r="A253" s="54" t="s">
        <v>453</v>
      </c>
      <c r="B253" s="54" t="s">
        <v>73</v>
      </c>
      <c r="C253" s="54" t="s">
        <v>1054</v>
      </c>
    </row>
    <row r="254">
      <c r="A254" s="54" t="s">
        <v>454</v>
      </c>
      <c r="B254" s="54" t="s">
        <v>66</v>
      </c>
      <c r="C254" s="54" t="s">
        <v>1048</v>
      </c>
    </row>
    <row r="255">
      <c r="A255" s="54" t="s">
        <v>455</v>
      </c>
      <c r="B255" s="54" t="s">
        <v>456</v>
      </c>
      <c r="C255" s="54" t="s">
        <v>1050</v>
      </c>
    </row>
    <row r="256">
      <c r="A256" s="54" t="s">
        <v>457</v>
      </c>
      <c r="B256" s="54" t="s">
        <v>373</v>
      </c>
      <c r="C256" s="54" t="s">
        <v>1039</v>
      </c>
    </row>
    <row r="257">
      <c r="A257" s="54" t="s">
        <v>458</v>
      </c>
      <c r="B257" s="54" t="s">
        <v>459</v>
      </c>
    </row>
    <row r="258">
      <c r="A258" s="54" t="s">
        <v>460</v>
      </c>
      <c r="B258" s="54" t="s">
        <v>131</v>
      </c>
      <c r="C258" s="54" t="s">
        <v>1046</v>
      </c>
    </row>
    <row r="259">
      <c r="A259" s="54" t="s">
        <v>461</v>
      </c>
      <c r="B259" s="54" t="s">
        <v>301</v>
      </c>
      <c r="C259" s="54" t="s">
        <v>1062</v>
      </c>
    </row>
    <row r="260">
      <c r="A260" s="54" t="s">
        <v>462</v>
      </c>
      <c r="B260" s="54" t="s">
        <v>66</v>
      </c>
      <c r="C260" s="54" t="s">
        <v>1055</v>
      </c>
    </row>
    <row r="261">
      <c r="A261" s="54" t="s">
        <v>463</v>
      </c>
      <c r="B261" s="54" t="s">
        <v>31</v>
      </c>
      <c r="C261" s="54" t="s">
        <v>1040</v>
      </c>
    </row>
    <row r="262">
      <c r="A262" s="54" t="s">
        <v>464</v>
      </c>
      <c r="B262" s="54" t="s">
        <v>465</v>
      </c>
      <c r="C262" s="54" t="s">
        <v>1040</v>
      </c>
    </row>
    <row r="263">
      <c r="A263" s="54" t="s">
        <v>467</v>
      </c>
      <c r="B263" s="54" t="s">
        <v>248</v>
      </c>
      <c r="C263" s="54" t="s">
        <v>1049</v>
      </c>
    </row>
    <row r="264">
      <c r="A264" s="54" t="s">
        <v>468</v>
      </c>
      <c r="B264" s="54" t="s">
        <v>469</v>
      </c>
      <c r="C264" s="54" t="s">
        <v>1039</v>
      </c>
    </row>
    <row r="265">
      <c r="A265" s="54" t="s">
        <v>470</v>
      </c>
      <c r="B265" s="54" t="s">
        <v>471</v>
      </c>
      <c r="C265" s="54" t="s">
        <v>1040</v>
      </c>
    </row>
    <row r="266">
      <c r="A266" s="54" t="s">
        <v>472</v>
      </c>
      <c r="B266" s="54" t="s">
        <v>473</v>
      </c>
      <c r="C266" s="54" t="s">
        <v>1039</v>
      </c>
    </row>
    <row r="267">
      <c r="A267" s="54" t="s">
        <v>474</v>
      </c>
      <c r="B267" s="54" t="s">
        <v>475</v>
      </c>
      <c r="C267" s="54" t="s">
        <v>1038</v>
      </c>
    </row>
    <row r="268">
      <c r="A268" s="54" t="s">
        <v>476</v>
      </c>
      <c r="B268" s="54" t="s">
        <v>477</v>
      </c>
      <c r="C268" s="54" t="s">
        <v>1045</v>
      </c>
    </row>
    <row r="269">
      <c r="A269" s="54" t="s">
        <v>478</v>
      </c>
      <c r="B269" s="54" t="s">
        <v>53</v>
      </c>
      <c r="C269" s="54" t="s">
        <v>1039</v>
      </c>
    </row>
    <row r="270">
      <c r="A270" s="54" t="s">
        <v>479</v>
      </c>
      <c r="B270" s="54" t="s">
        <v>131</v>
      </c>
      <c r="C270" s="54" t="s">
        <v>1040</v>
      </c>
    </row>
    <row r="271">
      <c r="A271" s="54" t="s">
        <v>480</v>
      </c>
      <c r="B271" s="54" t="s">
        <v>481</v>
      </c>
      <c r="C271" s="54" t="s">
        <v>1040</v>
      </c>
    </row>
    <row r="272">
      <c r="A272" s="54" t="s">
        <v>482</v>
      </c>
      <c r="B272" s="54" t="s">
        <v>483</v>
      </c>
      <c r="C272" s="54" t="s">
        <v>1038</v>
      </c>
    </row>
    <row r="273">
      <c r="A273" s="54" t="s">
        <v>484</v>
      </c>
      <c r="B273" s="54" t="s">
        <v>83</v>
      </c>
      <c r="C273" s="54" t="s">
        <v>1039</v>
      </c>
    </row>
    <row r="274">
      <c r="A274" s="54" t="s">
        <v>485</v>
      </c>
      <c r="B274" s="54" t="s">
        <v>486</v>
      </c>
      <c r="C274" s="54" t="s">
        <v>1067</v>
      </c>
    </row>
    <row r="275">
      <c r="A275" s="54" t="s">
        <v>487</v>
      </c>
      <c r="B275" s="54" t="s">
        <v>488</v>
      </c>
      <c r="C275" s="54" t="s">
        <v>1064</v>
      </c>
    </row>
    <row r="276">
      <c r="A276" s="54" t="s">
        <v>489</v>
      </c>
      <c r="B276" s="54" t="s">
        <v>490</v>
      </c>
      <c r="C276" s="54" t="s">
        <v>1038</v>
      </c>
    </row>
    <row r="277">
      <c r="A277" s="54" t="s">
        <v>491</v>
      </c>
      <c r="B277" s="54" t="s">
        <v>492</v>
      </c>
      <c r="C277" s="54" t="s">
        <v>1062</v>
      </c>
    </row>
    <row r="278">
      <c r="A278" s="54" t="s">
        <v>493</v>
      </c>
      <c r="B278" s="54" t="s">
        <v>494</v>
      </c>
      <c r="C278" s="54" t="s">
        <v>1056</v>
      </c>
    </row>
    <row r="279">
      <c r="A279" s="54" t="s">
        <v>495</v>
      </c>
      <c r="B279" s="54" t="s">
        <v>433</v>
      </c>
      <c r="C279" s="54" t="s">
        <v>1055</v>
      </c>
    </row>
    <row r="280">
      <c r="A280" s="54" t="s">
        <v>496</v>
      </c>
      <c r="B280" s="54" t="s">
        <v>131</v>
      </c>
      <c r="C280" s="54" t="s">
        <v>1057</v>
      </c>
    </row>
    <row r="281">
      <c r="A281" s="54" t="s">
        <v>497</v>
      </c>
      <c r="B281" s="54" t="s">
        <v>57</v>
      </c>
      <c r="C281" s="54" t="s">
        <v>1041</v>
      </c>
    </row>
    <row r="282">
      <c r="A282" s="54" t="s">
        <v>498</v>
      </c>
      <c r="B282" s="54" t="s">
        <v>286</v>
      </c>
      <c r="C282" s="54" t="s">
        <v>1055</v>
      </c>
    </row>
    <row r="283">
      <c r="A283" s="54" t="s">
        <v>499</v>
      </c>
      <c r="B283" s="54" t="s">
        <v>83</v>
      </c>
      <c r="C283" s="54" t="s">
        <v>1039</v>
      </c>
    </row>
    <row r="284">
      <c r="A284" s="54" t="s">
        <v>500</v>
      </c>
      <c r="B284" s="54" t="s">
        <v>501</v>
      </c>
      <c r="C284" s="54" t="s">
        <v>1064</v>
      </c>
    </row>
    <row r="285">
      <c r="A285" s="54" t="s">
        <v>502</v>
      </c>
      <c r="B285" s="54" t="s">
        <v>24</v>
      </c>
      <c r="C285" s="54" t="s">
        <v>1039</v>
      </c>
    </row>
    <row r="286">
      <c r="A286" s="54" t="s">
        <v>503</v>
      </c>
      <c r="B286" s="54" t="s">
        <v>504</v>
      </c>
      <c r="C286" s="54" t="s">
        <v>1046</v>
      </c>
    </row>
    <row r="287">
      <c r="A287" s="54" t="s">
        <v>505</v>
      </c>
      <c r="B287" s="54" t="s">
        <v>506</v>
      </c>
      <c r="C287" s="54" t="s">
        <v>1052</v>
      </c>
    </row>
    <row r="288">
      <c r="A288" s="54" t="s">
        <v>507</v>
      </c>
      <c r="B288" s="54" t="s">
        <v>427</v>
      </c>
      <c r="C288" s="54" t="s">
        <v>1039</v>
      </c>
    </row>
    <row r="289">
      <c r="A289" s="54" t="s">
        <v>508</v>
      </c>
      <c r="B289" s="54" t="s">
        <v>143</v>
      </c>
      <c r="C289" s="54" t="s">
        <v>1044</v>
      </c>
    </row>
    <row r="290">
      <c r="A290" s="54" t="s">
        <v>509</v>
      </c>
      <c r="B290" s="54" t="s">
        <v>510</v>
      </c>
      <c r="C290" s="54" t="s">
        <v>1044</v>
      </c>
    </row>
    <row r="291">
      <c r="A291" s="54" t="s">
        <v>511</v>
      </c>
      <c r="B291" s="54" t="s">
        <v>399</v>
      </c>
      <c r="C291" s="54" t="s">
        <v>1039</v>
      </c>
    </row>
    <row r="292">
      <c r="A292" s="54" t="s">
        <v>512</v>
      </c>
      <c r="B292" s="54" t="s">
        <v>24</v>
      </c>
      <c r="C292" s="54" t="s">
        <v>1044</v>
      </c>
    </row>
    <row r="293">
      <c r="A293" s="54" t="s">
        <v>513</v>
      </c>
      <c r="B293" s="54" t="s">
        <v>514</v>
      </c>
      <c r="C293" s="54" t="s">
        <v>1044</v>
      </c>
    </row>
    <row r="294">
      <c r="A294" s="54" t="s">
        <v>515</v>
      </c>
      <c r="B294" s="54" t="s">
        <v>57</v>
      </c>
      <c r="C294" s="54" t="s">
        <v>1062</v>
      </c>
    </row>
    <row r="295">
      <c r="A295" s="54" t="s">
        <v>517</v>
      </c>
      <c r="B295" s="54" t="s">
        <v>518</v>
      </c>
      <c r="C295" s="54" t="s">
        <v>1039</v>
      </c>
    </row>
    <row r="296">
      <c r="A296" s="54" t="s">
        <v>519</v>
      </c>
      <c r="B296" s="54" t="s">
        <v>83</v>
      </c>
      <c r="C296" s="54" t="s">
        <v>1039</v>
      </c>
    </row>
    <row r="297">
      <c r="A297" s="54" t="s">
        <v>520</v>
      </c>
      <c r="B297" s="54" t="s">
        <v>521</v>
      </c>
      <c r="C297" s="54" t="s">
        <v>1054</v>
      </c>
    </row>
    <row r="298">
      <c r="A298" s="54" t="s">
        <v>522</v>
      </c>
      <c r="B298" s="54" t="s">
        <v>73</v>
      </c>
      <c r="C298" s="54" t="s">
        <v>1053</v>
      </c>
    </row>
    <row r="299">
      <c r="A299" s="54" t="s">
        <v>523</v>
      </c>
      <c r="B299" s="54" t="s">
        <v>375</v>
      </c>
      <c r="C299" s="54" t="s">
        <v>1052</v>
      </c>
    </row>
    <row r="300">
      <c r="A300" s="54" t="s">
        <v>524</v>
      </c>
      <c r="B300" s="54" t="s">
        <v>131</v>
      </c>
      <c r="C300" s="54" t="s">
        <v>1065</v>
      </c>
    </row>
    <row r="301">
      <c r="A301" s="54" t="s">
        <v>525</v>
      </c>
      <c r="B301" s="54" t="s">
        <v>526</v>
      </c>
      <c r="C301" s="54" t="s">
        <v>1038</v>
      </c>
    </row>
    <row r="302">
      <c r="A302" s="54" t="s">
        <v>527</v>
      </c>
      <c r="B302" s="54" t="s">
        <v>301</v>
      </c>
      <c r="C302" s="54" t="s">
        <v>1049</v>
      </c>
    </row>
    <row r="303">
      <c r="A303" s="54" t="s">
        <v>528</v>
      </c>
      <c r="B303" s="54" t="s">
        <v>529</v>
      </c>
      <c r="C303" s="54" t="s">
        <v>1064</v>
      </c>
    </row>
    <row r="304">
      <c r="A304" s="54" t="s">
        <v>530</v>
      </c>
      <c r="B304" s="54" t="s">
        <v>317</v>
      </c>
      <c r="C304" s="54" t="s">
        <v>1039</v>
      </c>
    </row>
    <row r="305">
      <c r="A305" s="54" t="s">
        <v>531</v>
      </c>
      <c r="B305" s="54" t="s">
        <v>167</v>
      </c>
      <c r="C305" s="54" t="s">
        <v>1044</v>
      </c>
    </row>
    <row r="306">
      <c r="A306" s="54" t="s">
        <v>532</v>
      </c>
      <c r="B306" s="54" t="s">
        <v>131</v>
      </c>
      <c r="C306" s="54" t="s">
        <v>1057</v>
      </c>
    </row>
    <row r="307">
      <c r="A307" s="54" t="s">
        <v>533</v>
      </c>
      <c r="B307" s="54" t="s">
        <v>365</v>
      </c>
      <c r="C307" s="54" t="s">
        <v>1056</v>
      </c>
    </row>
    <row r="308">
      <c r="A308" s="54" t="s">
        <v>534</v>
      </c>
      <c r="B308" s="54" t="s">
        <v>131</v>
      </c>
      <c r="C308" s="54" t="s">
        <v>1062</v>
      </c>
    </row>
    <row r="309">
      <c r="A309" s="54" t="s">
        <v>535</v>
      </c>
      <c r="B309" s="54" t="s">
        <v>151</v>
      </c>
      <c r="C309" s="54" t="s">
        <v>1045</v>
      </c>
    </row>
    <row r="310">
      <c r="A310" s="54" t="s">
        <v>536</v>
      </c>
      <c r="B310" s="54" t="s">
        <v>151</v>
      </c>
      <c r="C310" s="54" t="s">
        <v>1041</v>
      </c>
    </row>
    <row r="311">
      <c r="A311" s="54" t="s">
        <v>537</v>
      </c>
      <c r="B311" s="54" t="s">
        <v>59</v>
      </c>
      <c r="C311" s="54" t="s">
        <v>1060</v>
      </c>
    </row>
    <row r="312">
      <c r="A312" s="54" t="s">
        <v>538</v>
      </c>
      <c r="B312" s="54" t="s">
        <v>539</v>
      </c>
      <c r="C312" s="54" t="s">
        <v>1042</v>
      </c>
    </row>
    <row r="313">
      <c r="A313" s="54" t="s">
        <v>541</v>
      </c>
      <c r="B313" s="54" t="s">
        <v>542</v>
      </c>
      <c r="C313" s="54" t="s">
        <v>1042</v>
      </c>
    </row>
    <row r="314">
      <c r="A314" s="54" t="s">
        <v>543</v>
      </c>
      <c r="B314" s="54" t="s">
        <v>544</v>
      </c>
      <c r="C314" s="54" t="s">
        <v>1056</v>
      </c>
    </row>
    <row r="315">
      <c r="A315" s="54" t="s">
        <v>545</v>
      </c>
      <c r="B315" s="54" t="s">
        <v>236</v>
      </c>
      <c r="C315" s="54" t="s">
        <v>1041</v>
      </c>
    </row>
    <row r="316">
      <c r="A316" s="54" t="s">
        <v>546</v>
      </c>
      <c r="B316" s="54" t="s">
        <v>117</v>
      </c>
      <c r="C316" s="54" t="s">
        <v>1064</v>
      </c>
    </row>
    <row r="317">
      <c r="A317" s="54" t="s">
        <v>547</v>
      </c>
      <c r="B317" s="54" t="s">
        <v>548</v>
      </c>
      <c r="C317" s="54" t="s">
        <v>1039</v>
      </c>
    </row>
    <row r="318">
      <c r="A318" s="54" t="s">
        <v>549</v>
      </c>
      <c r="B318" s="54" t="s">
        <v>131</v>
      </c>
      <c r="C318" s="54" t="s">
        <v>1057</v>
      </c>
    </row>
    <row r="319">
      <c r="A319" s="54" t="s">
        <v>550</v>
      </c>
      <c r="B319" s="54" t="s">
        <v>551</v>
      </c>
      <c r="C319" s="54" t="s">
        <v>1044</v>
      </c>
    </row>
    <row r="320">
      <c r="A320" s="54" t="s">
        <v>552</v>
      </c>
      <c r="B320" s="54" t="s">
        <v>553</v>
      </c>
    </row>
    <row r="321">
      <c r="A321" s="54" t="s">
        <v>554</v>
      </c>
      <c r="B321" s="54" t="s">
        <v>555</v>
      </c>
      <c r="C321" s="54" t="s">
        <v>1061</v>
      </c>
    </row>
    <row r="322">
      <c r="A322" s="54" t="s">
        <v>556</v>
      </c>
      <c r="B322" s="54" t="s">
        <v>123</v>
      </c>
      <c r="C322" s="54" t="s">
        <v>1039</v>
      </c>
    </row>
    <row r="323">
      <c r="A323" s="54" t="s">
        <v>557</v>
      </c>
      <c r="B323" s="54" t="s">
        <v>558</v>
      </c>
      <c r="C323" s="54" t="s">
        <v>1038</v>
      </c>
    </row>
    <row r="324">
      <c r="A324" s="54" t="s">
        <v>559</v>
      </c>
      <c r="B324" s="54" t="s">
        <v>510</v>
      </c>
      <c r="C324" s="54" t="s">
        <v>1044</v>
      </c>
    </row>
    <row r="325">
      <c r="A325" s="54" t="s">
        <v>560</v>
      </c>
      <c r="B325" s="54" t="s">
        <v>47</v>
      </c>
      <c r="C325" s="54" t="s">
        <v>1053</v>
      </c>
    </row>
    <row r="326">
      <c r="A326" s="54" t="s">
        <v>561</v>
      </c>
      <c r="B326" s="54" t="s">
        <v>100</v>
      </c>
    </row>
    <row r="327">
      <c r="A327" s="54" t="s">
        <v>562</v>
      </c>
      <c r="B327" s="54" t="s">
        <v>66</v>
      </c>
      <c r="C327" s="54" t="s">
        <v>1055</v>
      </c>
    </row>
    <row r="328">
      <c r="A328" s="54" t="s">
        <v>563</v>
      </c>
      <c r="B328" s="54" t="s">
        <v>51</v>
      </c>
      <c r="C328" s="54" t="s">
        <v>1043</v>
      </c>
    </row>
    <row r="329">
      <c r="A329" s="54" t="s">
        <v>564</v>
      </c>
      <c r="B329" s="54" t="s">
        <v>565</v>
      </c>
      <c r="C329" s="54" t="s">
        <v>1039</v>
      </c>
    </row>
    <row r="330">
      <c r="A330" s="54" t="s">
        <v>566</v>
      </c>
      <c r="B330" s="54" t="s">
        <v>567</v>
      </c>
      <c r="C330" s="54" t="s">
        <v>1042</v>
      </c>
    </row>
    <row r="331">
      <c r="A331" s="54" t="s">
        <v>568</v>
      </c>
      <c r="B331" s="54" t="s">
        <v>569</v>
      </c>
      <c r="C331" s="54" t="s">
        <v>1054</v>
      </c>
    </row>
    <row r="332">
      <c r="A332" s="54" t="s">
        <v>570</v>
      </c>
      <c r="B332" s="54" t="s">
        <v>100</v>
      </c>
      <c r="C332" s="54" t="s">
        <v>1038</v>
      </c>
    </row>
    <row r="333">
      <c r="A333" s="54" t="s">
        <v>571</v>
      </c>
      <c r="B333" s="54" t="s">
        <v>572</v>
      </c>
      <c r="C333" s="54" t="s">
        <v>1063</v>
      </c>
    </row>
    <row r="334">
      <c r="A334" s="54" t="s">
        <v>573</v>
      </c>
      <c r="B334" s="54" t="s">
        <v>574</v>
      </c>
      <c r="C334" s="54" t="s">
        <v>1042</v>
      </c>
    </row>
    <row r="335">
      <c r="A335" s="54" t="s">
        <v>575</v>
      </c>
      <c r="B335" s="54" t="s">
        <v>367</v>
      </c>
      <c r="C335" s="54" t="s">
        <v>1046</v>
      </c>
    </row>
    <row r="336">
      <c r="A336" s="54" t="s">
        <v>576</v>
      </c>
      <c r="B336" s="54" t="s">
        <v>577</v>
      </c>
      <c r="C336" s="54" t="s">
        <v>1064</v>
      </c>
    </row>
    <row r="337">
      <c r="A337" s="54" t="s">
        <v>578</v>
      </c>
      <c r="B337" s="54" t="s">
        <v>131</v>
      </c>
      <c r="C337" s="54" t="s">
        <v>1048</v>
      </c>
    </row>
    <row r="338">
      <c r="A338" s="54" t="s">
        <v>579</v>
      </c>
      <c r="B338" s="54" t="s">
        <v>580</v>
      </c>
      <c r="C338" s="54" t="s">
        <v>1044</v>
      </c>
    </row>
    <row r="339">
      <c r="A339" s="54" t="s">
        <v>581</v>
      </c>
      <c r="B339" s="54" t="s">
        <v>83</v>
      </c>
      <c r="C339" s="54" t="s">
        <v>1039</v>
      </c>
    </row>
    <row r="340">
      <c r="A340" s="54" t="s">
        <v>582</v>
      </c>
      <c r="B340" s="54" t="s">
        <v>583</v>
      </c>
      <c r="C340" s="54" t="s">
        <v>1067</v>
      </c>
    </row>
    <row r="341">
      <c r="A341" s="54" t="s">
        <v>584</v>
      </c>
      <c r="B341" s="54" t="s">
        <v>356</v>
      </c>
      <c r="C341" s="54" t="s">
        <v>1039</v>
      </c>
    </row>
    <row r="342">
      <c r="A342" s="54" t="s">
        <v>585</v>
      </c>
      <c r="B342" s="54" t="s">
        <v>443</v>
      </c>
      <c r="C342" s="54" t="s">
        <v>1041</v>
      </c>
    </row>
    <row r="343">
      <c r="A343" s="54" t="s">
        <v>586</v>
      </c>
      <c r="B343" s="54" t="s">
        <v>587</v>
      </c>
      <c r="C343" s="54" t="s">
        <v>1039</v>
      </c>
    </row>
    <row r="344">
      <c r="A344" s="54" t="s">
        <v>588</v>
      </c>
      <c r="B344" s="54" t="s">
        <v>589</v>
      </c>
      <c r="C344" s="54" t="s">
        <v>1038</v>
      </c>
    </row>
    <row r="345">
      <c r="A345" s="54" t="s">
        <v>590</v>
      </c>
      <c r="B345" s="54" t="s">
        <v>228</v>
      </c>
      <c r="C345" s="54" t="s">
        <v>1040</v>
      </c>
    </row>
    <row r="346">
      <c r="A346" s="54" t="s">
        <v>591</v>
      </c>
      <c r="B346" s="54" t="s">
        <v>510</v>
      </c>
      <c r="C346" s="54" t="s">
        <v>1042</v>
      </c>
    </row>
    <row r="347">
      <c r="A347" s="54" t="s">
        <v>592</v>
      </c>
      <c r="B347" s="54" t="s">
        <v>83</v>
      </c>
      <c r="C347" s="54" t="s">
        <v>1056</v>
      </c>
    </row>
    <row r="348">
      <c r="A348" s="54" t="s">
        <v>593</v>
      </c>
      <c r="B348" s="54" t="s">
        <v>594</v>
      </c>
      <c r="C348" s="54" t="s">
        <v>1039</v>
      </c>
    </row>
    <row r="349">
      <c r="A349" s="54" t="s">
        <v>595</v>
      </c>
      <c r="B349" s="54" t="s">
        <v>66</v>
      </c>
      <c r="C349" s="54" t="s">
        <v>1042</v>
      </c>
    </row>
    <row r="350">
      <c r="A350" s="54" t="s">
        <v>596</v>
      </c>
      <c r="B350" s="54" t="s">
        <v>83</v>
      </c>
      <c r="C350" s="54" t="s">
        <v>1039</v>
      </c>
    </row>
    <row r="351">
      <c r="A351" s="54" t="s">
        <v>597</v>
      </c>
      <c r="B351" s="54" t="s">
        <v>598</v>
      </c>
      <c r="C351" s="54" t="s">
        <v>1042</v>
      </c>
    </row>
    <row r="352">
      <c r="A352" s="54" t="s">
        <v>599</v>
      </c>
      <c r="B352" s="54" t="s">
        <v>548</v>
      </c>
      <c r="C352" s="54" t="s">
        <v>1067</v>
      </c>
    </row>
    <row r="353">
      <c r="A353" s="54" t="s">
        <v>600</v>
      </c>
      <c r="B353" s="54" t="s">
        <v>131</v>
      </c>
      <c r="C353" s="54" t="s">
        <v>1056</v>
      </c>
    </row>
    <row r="354">
      <c r="A354" s="54" t="s">
        <v>601</v>
      </c>
      <c r="B354" s="54" t="s">
        <v>602</v>
      </c>
      <c r="C354" s="54" t="s">
        <v>1052</v>
      </c>
    </row>
    <row r="355">
      <c r="A355" s="54" t="s">
        <v>603</v>
      </c>
      <c r="B355" s="54" t="s">
        <v>131</v>
      </c>
      <c r="C355" s="54" t="s">
        <v>1057</v>
      </c>
    </row>
    <row r="356">
      <c r="A356" s="54" t="s">
        <v>604</v>
      </c>
      <c r="B356" s="54" t="s">
        <v>605</v>
      </c>
      <c r="C356" s="54" t="s">
        <v>1038</v>
      </c>
    </row>
    <row r="357">
      <c r="A357" s="54" t="s">
        <v>606</v>
      </c>
      <c r="B357" s="54" t="s">
        <v>291</v>
      </c>
      <c r="C357" s="54" t="s">
        <v>1061</v>
      </c>
    </row>
    <row r="358">
      <c r="A358" s="54" t="s">
        <v>607</v>
      </c>
      <c r="B358" s="54" t="s">
        <v>608</v>
      </c>
      <c r="C358" s="54" t="s">
        <v>1045</v>
      </c>
    </row>
    <row r="359">
      <c r="A359" s="63" t="s">
        <v>609</v>
      </c>
      <c r="B359" s="54" t="s">
        <v>518</v>
      </c>
      <c r="C359" s="54" t="s">
        <v>1044</v>
      </c>
    </row>
    <row r="360">
      <c r="A360" s="54" t="s">
        <v>610</v>
      </c>
      <c r="B360" s="54" t="s">
        <v>100</v>
      </c>
      <c r="C360" s="54" t="s">
        <v>1056</v>
      </c>
    </row>
    <row r="361">
      <c r="A361" s="54" t="s">
        <v>611</v>
      </c>
      <c r="B361" s="54" t="s">
        <v>131</v>
      </c>
      <c r="C361" s="54" t="s">
        <v>1059</v>
      </c>
    </row>
    <row r="362">
      <c r="A362" s="54" t="s">
        <v>612</v>
      </c>
      <c r="B362" s="54" t="s">
        <v>157</v>
      </c>
      <c r="C362" s="54" t="s">
        <v>1044</v>
      </c>
    </row>
    <row r="363">
      <c r="A363" s="54" t="s">
        <v>613</v>
      </c>
      <c r="B363" s="54" t="s">
        <v>614</v>
      </c>
      <c r="C363" s="54" t="s">
        <v>1039</v>
      </c>
    </row>
    <row r="364">
      <c r="A364" s="54" t="s">
        <v>615</v>
      </c>
      <c r="B364" s="54" t="s">
        <v>616</v>
      </c>
      <c r="C364" s="54" t="s">
        <v>1042</v>
      </c>
    </row>
    <row r="365">
      <c r="A365" s="54" t="s">
        <v>617</v>
      </c>
      <c r="B365" s="54" t="s">
        <v>57</v>
      </c>
      <c r="C365" s="54" t="s">
        <v>1041</v>
      </c>
    </row>
    <row r="366">
      <c r="A366" s="54" t="s">
        <v>618</v>
      </c>
      <c r="B366" s="54" t="s">
        <v>619</v>
      </c>
      <c r="C366" s="54" t="s">
        <v>1048</v>
      </c>
    </row>
    <row r="367">
      <c r="A367" s="54" t="s">
        <v>620</v>
      </c>
      <c r="B367" s="54" t="s">
        <v>621</v>
      </c>
      <c r="C367" s="54" t="s">
        <v>1039</v>
      </c>
    </row>
    <row r="368">
      <c r="A368" s="54" t="s">
        <v>622</v>
      </c>
      <c r="B368" s="54" t="s">
        <v>24</v>
      </c>
      <c r="C368" s="54" t="s">
        <v>1039</v>
      </c>
    </row>
    <row r="369">
      <c r="A369" s="54" t="s">
        <v>623</v>
      </c>
      <c r="B369" s="54" t="s">
        <v>131</v>
      </c>
      <c r="C369" s="54" t="s">
        <v>1053</v>
      </c>
    </row>
    <row r="370">
      <c r="A370" s="54" t="s">
        <v>624</v>
      </c>
      <c r="B370" s="54" t="s">
        <v>317</v>
      </c>
      <c r="C370" s="54" t="s">
        <v>1056</v>
      </c>
    </row>
    <row r="371">
      <c r="A371" s="54" t="s">
        <v>625</v>
      </c>
      <c r="B371" s="54" t="s">
        <v>626</v>
      </c>
      <c r="C371" s="54" t="s">
        <v>1039</v>
      </c>
    </row>
    <row r="372">
      <c r="A372" s="54" t="s">
        <v>627</v>
      </c>
      <c r="B372" s="54" t="s">
        <v>544</v>
      </c>
      <c r="C372" s="54" t="s">
        <v>1056</v>
      </c>
    </row>
    <row r="373">
      <c r="A373" s="54" t="s">
        <v>628</v>
      </c>
      <c r="B373" s="54" t="s">
        <v>83</v>
      </c>
      <c r="C373" s="54" t="s">
        <v>1039</v>
      </c>
    </row>
    <row r="374">
      <c r="A374" s="54" t="s">
        <v>629</v>
      </c>
      <c r="B374" s="54" t="s">
        <v>630</v>
      </c>
      <c r="C374" s="54" t="s">
        <v>1046</v>
      </c>
    </row>
    <row r="375">
      <c r="A375" s="54" t="s">
        <v>631</v>
      </c>
      <c r="B375" s="54" t="s">
        <v>131</v>
      </c>
      <c r="C375" s="54" t="s">
        <v>1068</v>
      </c>
    </row>
    <row r="376">
      <c r="A376" s="54" t="s">
        <v>632</v>
      </c>
      <c r="B376" s="54" t="s">
        <v>633</v>
      </c>
      <c r="C376" s="54" t="s">
        <v>1040</v>
      </c>
    </row>
    <row r="377">
      <c r="A377" s="54" t="s">
        <v>634</v>
      </c>
      <c r="B377" s="54" t="s">
        <v>143</v>
      </c>
      <c r="C377" s="54" t="s">
        <v>1044</v>
      </c>
    </row>
    <row r="378">
      <c r="A378" s="54" t="s">
        <v>635</v>
      </c>
      <c r="B378" s="54" t="s">
        <v>636</v>
      </c>
      <c r="C378" s="54" t="s">
        <v>1064</v>
      </c>
    </row>
    <row r="379">
      <c r="A379" s="54" t="s">
        <v>637</v>
      </c>
      <c r="B379" s="54" t="s">
        <v>638</v>
      </c>
      <c r="C379" s="54" t="s">
        <v>1039</v>
      </c>
    </row>
    <row r="380">
      <c r="A380" s="54" t="s">
        <v>639</v>
      </c>
      <c r="B380" s="54" t="s">
        <v>640</v>
      </c>
      <c r="C380" s="54" t="s">
        <v>1039</v>
      </c>
    </row>
    <row r="381">
      <c r="A381" s="54" t="s">
        <v>641</v>
      </c>
      <c r="B381" s="54" t="s">
        <v>642</v>
      </c>
      <c r="C381" s="54" t="s">
        <v>1053</v>
      </c>
    </row>
    <row r="382">
      <c r="A382" s="54" t="s">
        <v>643</v>
      </c>
      <c r="B382" s="54" t="s">
        <v>544</v>
      </c>
      <c r="C382" s="54" t="s">
        <v>1041</v>
      </c>
    </row>
    <row r="383">
      <c r="A383" s="54" t="s">
        <v>644</v>
      </c>
      <c r="B383" s="54" t="s">
        <v>433</v>
      </c>
      <c r="C383" s="54" t="s">
        <v>1047</v>
      </c>
    </row>
    <row r="384">
      <c r="A384" s="54" t="s">
        <v>645</v>
      </c>
      <c r="B384" s="54" t="s">
        <v>53</v>
      </c>
      <c r="C384" s="54" t="s">
        <v>1039</v>
      </c>
    </row>
    <row r="385">
      <c r="A385" s="54" t="s">
        <v>646</v>
      </c>
      <c r="B385" s="54" t="s">
        <v>647</v>
      </c>
      <c r="C385" s="54" t="s">
        <v>1065</v>
      </c>
    </row>
    <row r="386">
      <c r="A386" s="54" t="s">
        <v>648</v>
      </c>
      <c r="B386" s="54" t="s">
        <v>649</v>
      </c>
      <c r="C386" s="54" t="s">
        <v>1064</v>
      </c>
    </row>
    <row r="387">
      <c r="A387" s="54" t="s">
        <v>650</v>
      </c>
      <c r="B387" s="54" t="s">
        <v>518</v>
      </c>
      <c r="C387" s="54" t="s">
        <v>1044</v>
      </c>
    </row>
    <row r="388">
      <c r="A388" s="54" t="s">
        <v>651</v>
      </c>
      <c r="B388" s="54" t="s">
        <v>652</v>
      </c>
      <c r="C388" s="54" t="s">
        <v>1039</v>
      </c>
    </row>
    <row r="389">
      <c r="A389" s="54" t="s">
        <v>653</v>
      </c>
      <c r="B389" s="54" t="s">
        <v>654</v>
      </c>
      <c r="C389" s="54" t="s">
        <v>1052</v>
      </c>
    </row>
    <row r="390">
      <c r="A390" s="54" t="s">
        <v>655</v>
      </c>
      <c r="B390" s="54" t="s">
        <v>656</v>
      </c>
      <c r="C390" s="54" t="s">
        <v>1038</v>
      </c>
    </row>
    <row r="391">
      <c r="A391" s="54" t="s">
        <v>657</v>
      </c>
      <c r="B391" s="54" t="s">
        <v>658</v>
      </c>
      <c r="C391" s="54" t="s">
        <v>1045</v>
      </c>
    </row>
    <row r="392">
      <c r="A392" s="54" t="s">
        <v>659</v>
      </c>
      <c r="B392" s="54" t="s">
        <v>66</v>
      </c>
      <c r="C392" s="54" t="s">
        <v>1041</v>
      </c>
    </row>
    <row r="393">
      <c r="A393" s="54" t="s">
        <v>660</v>
      </c>
      <c r="B393" s="54" t="s">
        <v>661</v>
      </c>
      <c r="C393" s="54" t="s">
        <v>1060</v>
      </c>
    </row>
    <row r="394">
      <c r="A394" s="54" t="s">
        <v>662</v>
      </c>
      <c r="B394" s="54" t="s">
        <v>24</v>
      </c>
    </row>
    <row r="395">
      <c r="A395" s="54" t="s">
        <v>663</v>
      </c>
      <c r="B395" s="54" t="s">
        <v>131</v>
      </c>
      <c r="C395" s="54" t="s">
        <v>1055</v>
      </c>
    </row>
    <row r="396">
      <c r="A396" s="54" t="s">
        <v>664</v>
      </c>
      <c r="B396" s="54" t="s">
        <v>665</v>
      </c>
      <c r="C396" s="54" t="s">
        <v>1039</v>
      </c>
    </row>
    <row r="397">
      <c r="A397" s="54" t="s">
        <v>666</v>
      </c>
      <c r="B397" s="54" t="s">
        <v>57</v>
      </c>
      <c r="C397" s="54" t="s">
        <v>1038</v>
      </c>
    </row>
    <row r="398">
      <c r="A398" s="54" t="s">
        <v>667</v>
      </c>
      <c r="B398" s="54" t="s">
        <v>668</v>
      </c>
      <c r="C398" s="54" t="s">
        <v>1052</v>
      </c>
    </row>
    <row r="399">
      <c r="A399" s="54" t="s">
        <v>669</v>
      </c>
      <c r="B399" s="54" t="s">
        <v>670</v>
      </c>
      <c r="C399" s="54" t="s">
        <v>1053</v>
      </c>
    </row>
    <row r="400">
      <c r="A400" s="54" t="s">
        <v>671</v>
      </c>
      <c r="B400" s="54" t="s">
        <v>433</v>
      </c>
      <c r="C400" s="54" t="s">
        <v>1041</v>
      </c>
    </row>
    <row r="401">
      <c r="A401" s="54" t="s">
        <v>672</v>
      </c>
      <c r="B401" s="54" t="s">
        <v>24</v>
      </c>
      <c r="C401" s="54" t="s">
        <v>1039</v>
      </c>
    </row>
    <row r="402">
      <c r="A402" s="54" t="s">
        <v>673</v>
      </c>
      <c r="B402" s="54" t="s">
        <v>674</v>
      </c>
      <c r="C402" s="54" t="s">
        <v>1063</v>
      </c>
    </row>
    <row r="403">
      <c r="A403" s="54" t="s">
        <v>675</v>
      </c>
      <c r="B403" s="54" t="s">
        <v>212</v>
      </c>
      <c r="C403" s="54" t="s">
        <v>1055</v>
      </c>
    </row>
    <row r="404">
      <c r="A404" s="54" t="s">
        <v>676</v>
      </c>
      <c r="B404" s="54" t="s">
        <v>614</v>
      </c>
      <c r="C404" s="54" t="s">
        <v>1048</v>
      </c>
    </row>
    <row r="405">
      <c r="A405" s="54" t="s">
        <v>677</v>
      </c>
      <c r="B405" s="54" t="s">
        <v>473</v>
      </c>
      <c r="C405" s="54" t="s">
        <v>1046</v>
      </c>
    </row>
    <row r="406">
      <c r="A406" s="54" t="s">
        <v>678</v>
      </c>
      <c r="B406" s="54" t="s">
        <v>565</v>
      </c>
      <c r="C406" s="54" t="s">
        <v>1067</v>
      </c>
    </row>
    <row r="407">
      <c r="A407" s="54" t="s">
        <v>679</v>
      </c>
      <c r="B407" s="54" t="s">
        <v>131</v>
      </c>
      <c r="C407" s="54" t="s">
        <v>1057</v>
      </c>
    </row>
    <row r="408">
      <c r="A408" s="54" t="s">
        <v>680</v>
      </c>
      <c r="B408" s="54" t="s">
        <v>83</v>
      </c>
      <c r="C408" s="54" t="s">
        <v>1042</v>
      </c>
    </row>
    <row r="409">
      <c r="A409" s="54" t="s">
        <v>681</v>
      </c>
      <c r="B409" s="54" t="s">
        <v>682</v>
      </c>
      <c r="C409" s="54" t="s">
        <v>1042</v>
      </c>
    </row>
    <row r="410">
      <c r="A410" s="54" t="s">
        <v>683</v>
      </c>
      <c r="B410" s="54" t="s">
        <v>684</v>
      </c>
      <c r="C410" s="54" t="s">
        <v>1041</v>
      </c>
    </row>
    <row r="411">
      <c r="A411" s="54" t="s">
        <v>685</v>
      </c>
      <c r="B411" s="54" t="s">
        <v>319</v>
      </c>
      <c r="C411" s="54" t="s">
        <v>1055</v>
      </c>
    </row>
    <row r="412">
      <c r="A412" s="54" t="s">
        <v>686</v>
      </c>
      <c r="B412" s="54" t="s">
        <v>66</v>
      </c>
      <c r="C412" s="54" t="s">
        <v>1065</v>
      </c>
    </row>
    <row r="413">
      <c r="A413" s="54" t="s">
        <v>687</v>
      </c>
      <c r="B413" s="54" t="s">
        <v>259</v>
      </c>
      <c r="C413" s="54" t="s">
        <v>1062</v>
      </c>
    </row>
    <row r="414">
      <c r="A414" s="54" t="s">
        <v>688</v>
      </c>
      <c r="B414" s="54" t="s">
        <v>131</v>
      </c>
      <c r="C414" s="54" t="s">
        <v>1066</v>
      </c>
    </row>
    <row r="415">
      <c r="A415" s="54" t="s">
        <v>689</v>
      </c>
      <c r="B415" s="54" t="s">
        <v>100</v>
      </c>
      <c r="C415" s="54" t="s">
        <v>1039</v>
      </c>
    </row>
    <row r="416">
      <c r="A416" s="54" t="s">
        <v>690</v>
      </c>
      <c r="B416" s="54" t="s">
        <v>691</v>
      </c>
      <c r="C416" s="54" t="s">
        <v>1041</v>
      </c>
    </row>
    <row r="417">
      <c r="A417" s="54" t="s">
        <v>692</v>
      </c>
      <c r="B417" s="54" t="s">
        <v>433</v>
      </c>
      <c r="C417" s="54" t="s">
        <v>1039</v>
      </c>
    </row>
    <row r="418">
      <c r="A418" s="54" t="s">
        <v>693</v>
      </c>
      <c r="B418" s="54" t="s">
        <v>694</v>
      </c>
      <c r="C418" s="54" t="s">
        <v>1039</v>
      </c>
    </row>
    <row r="419">
      <c r="A419" s="54" t="s">
        <v>695</v>
      </c>
      <c r="B419" s="54" t="s">
        <v>696</v>
      </c>
      <c r="C419" s="54" t="s">
        <v>1041</v>
      </c>
    </row>
    <row r="420">
      <c r="A420" s="54" t="s">
        <v>697</v>
      </c>
      <c r="B420" s="54" t="s">
        <v>100</v>
      </c>
      <c r="C420" s="54" t="s">
        <v>1041</v>
      </c>
    </row>
    <row r="421">
      <c r="A421" s="54" t="s">
        <v>698</v>
      </c>
      <c r="B421" s="54" t="s">
        <v>424</v>
      </c>
      <c r="C421" s="54" t="s">
        <v>1064</v>
      </c>
    </row>
    <row r="422">
      <c r="A422" s="54" t="s">
        <v>699</v>
      </c>
      <c r="B422" s="54" t="s">
        <v>473</v>
      </c>
      <c r="C422" s="54" t="s">
        <v>1039</v>
      </c>
    </row>
    <row r="423">
      <c r="A423" s="54" t="s">
        <v>700</v>
      </c>
      <c r="B423" s="54" t="s">
        <v>701</v>
      </c>
      <c r="C423" s="54" t="s">
        <v>1042</v>
      </c>
    </row>
    <row r="424">
      <c r="A424" s="54" t="s">
        <v>702</v>
      </c>
      <c r="B424" s="54" t="s">
        <v>141</v>
      </c>
      <c r="C424" s="54" t="s">
        <v>1039</v>
      </c>
    </row>
    <row r="425">
      <c r="A425" s="54" t="s">
        <v>703</v>
      </c>
      <c r="B425" s="54" t="s">
        <v>66</v>
      </c>
      <c r="C425" s="54" t="s">
        <v>1049</v>
      </c>
    </row>
    <row r="426">
      <c r="A426" s="54" t="s">
        <v>704</v>
      </c>
      <c r="B426" s="54" t="s">
        <v>367</v>
      </c>
      <c r="C426" s="54" t="s">
        <v>1045</v>
      </c>
    </row>
    <row r="427">
      <c r="A427" s="54" t="s">
        <v>705</v>
      </c>
      <c r="B427" s="54" t="s">
        <v>706</v>
      </c>
      <c r="C427" s="54" t="s">
        <v>1053</v>
      </c>
    </row>
    <row r="428">
      <c r="A428" s="54" t="s">
        <v>707</v>
      </c>
      <c r="B428" s="54" t="s">
        <v>708</v>
      </c>
      <c r="C428" s="54" t="s">
        <v>1041</v>
      </c>
    </row>
    <row r="429">
      <c r="A429" s="54" t="s">
        <v>709</v>
      </c>
      <c r="B429" s="54" t="s">
        <v>259</v>
      </c>
      <c r="C429" s="54" t="s">
        <v>1046</v>
      </c>
    </row>
    <row r="430">
      <c r="A430" s="54" t="s">
        <v>710</v>
      </c>
      <c r="B430" s="54" t="s">
        <v>711</v>
      </c>
      <c r="C430" s="54" t="s">
        <v>1038</v>
      </c>
    </row>
    <row r="431">
      <c r="A431" s="54" t="s">
        <v>712</v>
      </c>
      <c r="B431" s="54" t="s">
        <v>713</v>
      </c>
      <c r="C431" s="54" t="s">
        <v>1046</v>
      </c>
    </row>
    <row r="432">
      <c r="A432" s="54" t="s">
        <v>714</v>
      </c>
      <c r="B432" s="54" t="s">
        <v>131</v>
      </c>
      <c r="C432" s="54" t="s">
        <v>1066</v>
      </c>
    </row>
    <row r="433">
      <c r="A433" s="54" t="s">
        <v>715</v>
      </c>
      <c r="B433" s="54" t="s">
        <v>716</v>
      </c>
      <c r="C433" s="54" t="s">
        <v>1063</v>
      </c>
    </row>
    <row r="434">
      <c r="A434" s="54" t="s">
        <v>717</v>
      </c>
      <c r="B434" s="54" t="s">
        <v>73</v>
      </c>
      <c r="C434" s="54" t="s">
        <v>1053</v>
      </c>
    </row>
    <row r="435">
      <c r="A435" s="54" t="s">
        <v>718</v>
      </c>
      <c r="B435" s="54" t="s">
        <v>310</v>
      </c>
    </row>
    <row r="436">
      <c r="A436" s="54" t="s">
        <v>719</v>
      </c>
      <c r="B436" s="54" t="s">
        <v>131</v>
      </c>
      <c r="C436" s="54" t="s">
        <v>1038</v>
      </c>
    </row>
    <row r="437">
      <c r="A437" s="54" t="s">
        <v>720</v>
      </c>
      <c r="B437" s="54" t="s">
        <v>323</v>
      </c>
      <c r="C437" s="54" t="s">
        <v>1044</v>
      </c>
    </row>
    <row r="438">
      <c r="A438" s="54" t="s">
        <v>721</v>
      </c>
      <c r="B438" s="54" t="s">
        <v>433</v>
      </c>
      <c r="C438" s="54" t="s">
        <v>1062</v>
      </c>
    </row>
    <row r="439">
      <c r="A439" s="54" t="s">
        <v>722</v>
      </c>
      <c r="B439" s="54" t="s">
        <v>723</v>
      </c>
    </row>
    <row r="440">
      <c r="A440" s="54" t="s">
        <v>724</v>
      </c>
      <c r="B440" s="54" t="s">
        <v>301</v>
      </c>
      <c r="C440" s="54" t="s">
        <v>1068</v>
      </c>
    </row>
    <row r="441">
      <c r="A441" s="54" t="s">
        <v>725</v>
      </c>
      <c r="B441" s="54" t="s">
        <v>341</v>
      </c>
      <c r="C441" s="54" t="s">
        <v>1060</v>
      </c>
    </row>
    <row r="442">
      <c r="A442" s="54" t="s">
        <v>726</v>
      </c>
      <c r="B442" s="54" t="s">
        <v>66</v>
      </c>
      <c r="C442" s="54" t="s">
        <v>1041</v>
      </c>
    </row>
    <row r="443">
      <c r="A443" s="54" t="s">
        <v>727</v>
      </c>
      <c r="B443" s="54" t="s">
        <v>215</v>
      </c>
      <c r="C443" s="54" t="s">
        <v>1060</v>
      </c>
    </row>
    <row r="444">
      <c r="A444" s="54" t="s">
        <v>728</v>
      </c>
      <c r="B444" s="54" t="s">
        <v>155</v>
      </c>
      <c r="C444" s="54" t="s">
        <v>1044</v>
      </c>
    </row>
    <row r="445">
      <c r="A445" s="54" t="s">
        <v>729</v>
      </c>
      <c r="B445" s="54" t="s">
        <v>473</v>
      </c>
      <c r="C445" s="54" t="s">
        <v>1038</v>
      </c>
    </row>
    <row r="446">
      <c r="A446" s="54" t="s">
        <v>730</v>
      </c>
      <c r="B446" s="54" t="s">
        <v>731</v>
      </c>
      <c r="C446" s="54" t="s">
        <v>1053</v>
      </c>
    </row>
    <row r="447">
      <c r="A447" s="54" t="s">
        <v>732</v>
      </c>
      <c r="B447" s="54" t="s">
        <v>733</v>
      </c>
      <c r="C447" s="54" t="s">
        <v>1039</v>
      </c>
    </row>
    <row r="448">
      <c r="A448" s="54" t="s">
        <v>734</v>
      </c>
      <c r="B448" s="54" t="s">
        <v>24</v>
      </c>
      <c r="C448" s="54" t="s">
        <v>1044</v>
      </c>
    </row>
    <row r="449">
      <c r="A449" s="54" t="s">
        <v>735</v>
      </c>
      <c r="B449" s="54" t="s">
        <v>433</v>
      </c>
      <c r="C449" s="54" t="s">
        <v>1052</v>
      </c>
    </row>
    <row r="450">
      <c r="A450" s="54" t="s">
        <v>736</v>
      </c>
      <c r="B450" s="54" t="s">
        <v>269</v>
      </c>
      <c r="C450" s="54" t="s">
        <v>1042</v>
      </c>
    </row>
    <row r="451">
      <c r="A451" s="54" t="s">
        <v>737</v>
      </c>
      <c r="B451" s="54" t="s">
        <v>155</v>
      </c>
      <c r="C451" s="54" t="s">
        <v>1041</v>
      </c>
    </row>
    <row r="452">
      <c r="A452" s="54" t="s">
        <v>738</v>
      </c>
      <c r="B452" s="54" t="s">
        <v>134</v>
      </c>
      <c r="C452" s="54" t="s">
        <v>1039</v>
      </c>
    </row>
    <row r="453">
      <c r="A453" s="54" t="s">
        <v>738</v>
      </c>
      <c r="B453" s="54" t="s">
        <v>134</v>
      </c>
      <c r="C453" s="54" t="s">
        <v>1039</v>
      </c>
    </row>
    <row r="454">
      <c r="A454" s="54" t="s">
        <v>739</v>
      </c>
      <c r="B454" s="54" t="s">
        <v>740</v>
      </c>
      <c r="C454" s="54" t="s">
        <v>1050</v>
      </c>
    </row>
    <row r="455">
      <c r="A455" s="54" t="s">
        <v>741</v>
      </c>
      <c r="B455" s="54" t="s">
        <v>24</v>
      </c>
      <c r="C455" s="54" t="s">
        <v>1044</v>
      </c>
    </row>
    <row r="456">
      <c r="A456" s="54" t="s">
        <v>742</v>
      </c>
      <c r="B456" s="54" t="s">
        <v>280</v>
      </c>
      <c r="C456" s="54" t="s">
        <v>1058</v>
      </c>
    </row>
    <row r="457">
      <c r="A457" s="54" t="s">
        <v>743</v>
      </c>
      <c r="B457" s="54" t="s">
        <v>131</v>
      </c>
      <c r="C457" s="54" t="s">
        <v>1039</v>
      </c>
    </row>
    <row r="458">
      <c r="A458" s="54" t="s">
        <v>744</v>
      </c>
      <c r="B458" s="54" t="s">
        <v>317</v>
      </c>
      <c r="C458" s="54" t="s">
        <v>1039</v>
      </c>
    </row>
    <row r="459">
      <c r="A459" s="54" t="s">
        <v>745</v>
      </c>
      <c r="B459" s="54" t="s">
        <v>746</v>
      </c>
      <c r="C459" s="54" t="s">
        <v>1038</v>
      </c>
    </row>
    <row r="460">
      <c r="A460" s="54" t="s">
        <v>747</v>
      </c>
      <c r="B460" s="54" t="s">
        <v>83</v>
      </c>
      <c r="C460" s="54" t="s">
        <v>1042</v>
      </c>
    </row>
    <row r="461">
      <c r="A461" s="54" t="s">
        <v>748</v>
      </c>
      <c r="B461" s="54" t="s">
        <v>399</v>
      </c>
      <c r="C461" s="54" t="s">
        <v>1039</v>
      </c>
    </row>
    <row r="462">
      <c r="A462" s="54" t="s">
        <v>749</v>
      </c>
      <c r="B462" s="54" t="s">
        <v>83</v>
      </c>
      <c r="C462" s="54" t="s">
        <v>1039</v>
      </c>
    </row>
    <row r="463">
      <c r="A463" s="54" t="s">
        <v>750</v>
      </c>
      <c r="B463" s="54" t="s">
        <v>146</v>
      </c>
      <c r="C463" s="54" t="s">
        <v>1044</v>
      </c>
    </row>
    <row r="464">
      <c r="A464" s="54" t="s">
        <v>751</v>
      </c>
      <c r="B464" s="54" t="s">
        <v>752</v>
      </c>
      <c r="C464" s="54" t="s">
        <v>1054</v>
      </c>
    </row>
    <row r="465">
      <c r="A465" s="54" t="s">
        <v>753</v>
      </c>
      <c r="B465" s="54" t="s">
        <v>236</v>
      </c>
      <c r="C465" s="54" t="s">
        <v>1066</v>
      </c>
    </row>
    <row r="466">
      <c r="A466" s="54" t="s">
        <v>754</v>
      </c>
      <c r="B466" s="54" t="s">
        <v>755</v>
      </c>
      <c r="C466" s="54" t="s">
        <v>1061</v>
      </c>
    </row>
    <row r="467">
      <c r="A467" s="54" t="s">
        <v>756</v>
      </c>
      <c r="B467" s="54" t="s">
        <v>757</v>
      </c>
      <c r="C467" s="54" t="s">
        <v>1038</v>
      </c>
    </row>
    <row r="468">
      <c r="A468" s="54" t="s">
        <v>758</v>
      </c>
      <c r="B468" s="54" t="s">
        <v>155</v>
      </c>
      <c r="C468" s="54" t="s">
        <v>1039</v>
      </c>
    </row>
    <row r="469">
      <c r="A469" s="54" t="s">
        <v>759</v>
      </c>
      <c r="B469" s="54" t="s">
        <v>510</v>
      </c>
      <c r="C469" s="54" t="s">
        <v>1056</v>
      </c>
    </row>
    <row r="470">
      <c r="A470" s="54" t="s">
        <v>760</v>
      </c>
      <c r="B470" s="54" t="s">
        <v>24</v>
      </c>
      <c r="C470" s="54" t="s">
        <v>1068</v>
      </c>
    </row>
    <row r="471">
      <c r="A471" s="54" t="s">
        <v>761</v>
      </c>
      <c r="B471" s="54" t="s">
        <v>762</v>
      </c>
      <c r="C471" s="54" t="s">
        <v>1042</v>
      </c>
    </row>
    <row r="472">
      <c r="A472" s="54" t="s">
        <v>763</v>
      </c>
      <c r="B472" s="54" t="s">
        <v>764</v>
      </c>
      <c r="C472" s="54" t="s">
        <v>1055</v>
      </c>
    </row>
    <row r="473">
      <c r="A473" s="54" t="s">
        <v>765</v>
      </c>
      <c r="B473" s="54" t="s">
        <v>766</v>
      </c>
      <c r="C473" s="54" t="s">
        <v>1052</v>
      </c>
    </row>
    <row r="474">
      <c r="A474" s="54" t="s">
        <v>767</v>
      </c>
      <c r="B474" s="54" t="s">
        <v>665</v>
      </c>
      <c r="C474" s="54" t="s">
        <v>1041</v>
      </c>
    </row>
    <row r="475">
      <c r="A475" s="54" t="s">
        <v>768</v>
      </c>
      <c r="B475" s="54" t="s">
        <v>178</v>
      </c>
      <c r="C475" s="54" t="s">
        <v>1068</v>
      </c>
    </row>
    <row r="476">
      <c r="A476" s="54" t="s">
        <v>769</v>
      </c>
      <c r="B476" s="54" t="s">
        <v>770</v>
      </c>
      <c r="C476" s="54" t="s">
        <v>1041</v>
      </c>
    </row>
    <row r="477">
      <c r="A477" s="54" t="s">
        <v>771</v>
      </c>
      <c r="B477" s="54" t="s">
        <v>443</v>
      </c>
      <c r="C477" s="54" t="s">
        <v>1041</v>
      </c>
    </row>
    <row r="478">
      <c r="A478" s="54" t="s">
        <v>772</v>
      </c>
      <c r="B478" s="54" t="s">
        <v>773</v>
      </c>
      <c r="C478" s="54" t="s">
        <v>1042</v>
      </c>
    </row>
    <row r="479">
      <c r="A479" s="54" t="s">
        <v>774</v>
      </c>
      <c r="B479" s="54" t="s">
        <v>24</v>
      </c>
      <c r="C479" s="54" t="s">
        <v>1039</v>
      </c>
    </row>
    <row r="480">
      <c r="A480" s="54" t="s">
        <v>775</v>
      </c>
      <c r="B480" s="54" t="s">
        <v>131</v>
      </c>
      <c r="C480" s="54" t="s">
        <v>1048</v>
      </c>
    </row>
    <row r="481">
      <c r="A481" s="54" t="s">
        <v>776</v>
      </c>
      <c r="B481" s="54" t="s">
        <v>319</v>
      </c>
      <c r="C481" s="54" t="s">
        <v>1039</v>
      </c>
    </row>
    <row r="482">
      <c r="A482" s="54" t="s">
        <v>777</v>
      </c>
      <c r="B482" s="54" t="s">
        <v>57</v>
      </c>
      <c r="C482" s="54" t="s">
        <v>1041</v>
      </c>
    </row>
    <row r="483">
      <c r="A483" s="54" t="s">
        <v>778</v>
      </c>
      <c r="B483" s="54" t="s">
        <v>473</v>
      </c>
      <c r="C483" s="54" t="s">
        <v>1066</v>
      </c>
    </row>
    <row r="484">
      <c r="A484" s="54" t="s">
        <v>779</v>
      </c>
      <c r="B484" s="54" t="s">
        <v>780</v>
      </c>
      <c r="C484" s="54" t="s">
        <v>1039</v>
      </c>
    </row>
    <row r="485">
      <c r="A485" s="54" t="s">
        <v>781</v>
      </c>
      <c r="B485" s="54" t="s">
        <v>782</v>
      </c>
      <c r="C485" s="54" t="s">
        <v>1044</v>
      </c>
    </row>
    <row r="486">
      <c r="A486" s="54" t="s">
        <v>783</v>
      </c>
      <c r="B486" s="54" t="s">
        <v>224</v>
      </c>
      <c r="C486" s="54" t="s">
        <v>1041</v>
      </c>
    </row>
    <row r="487">
      <c r="A487" s="54" t="s">
        <v>784</v>
      </c>
      <c r="B487" s="54" t="s">
        <v>682</v>
      </c>
      <c r="C487" s="54" t="s">
        <v>1042</v>
      </c>
    </row>
    <row r="488">
      <c r="A488" s="54" t="s">
        <v>785</v>
      </c>
      <c r="B488" s="54" t="s">
        <v>155</v>
      </c>
      <c r="C488" s="54" t="s">
        <v>1044</v>
      </c>
    </row>
    <row r="489">
      <c r="A489" s="54" t="s">
        <v>786</v>
      </c>
      <c r="B489" s="54" t="s">
        <v>146</v>
      </c>
      <c r="C489" s="54" t="s">
        <v>1039</v>
      </c>
    </row>
    <row r="490">
      <c r="A490" s="54" t="s">
        <v>787</v>
      </c>
      <c r="B490" s="54" t="s">
        <v>24</v>
      </c>
      <c r="C490" s="54" t="s">
        <v>1039</v>
      </c>
    </row>
    <row r="491">
      <c r="A491" s="63" t="s">
        <v>788</v>
      </c>
      <c r="B491" s="54" t="s">
        <v>131</v>
      </c>
      <c r="C491" s="54" t="s">
        <v>1068</v>
      </c>
    </row>
    <row r="492">
      <c r="A492" s="54" t="s">
        <v>789</v>
      </c>
      <c r="B492" s="54" t="s">
        <v>433</v>
      </c>
      <c r="C492" s="54" t="s">
        <v>1056</v>
      </c>
    </row>
    <row r="493">
      <c r="A493" s="54" t="s">
        <v>790</v>
      </c>
      <c r="B493" s="54" t="s">
        <v>24</v>
      </c>
      <c r="C493" s="54" t="s">
        <v>1046</v>
      </c>
    </row>
    <row r="494">
      <c r="A494" s="54" t="s">
        <v>791</v>
      </c>
      <c r="B494" s="54" t="s">
        <v>619</v>
      </c>
      <c r="C494" s="54" t="s">
        <v>1041</v>
      </c>
    </row>
    <row r="495">
      <c r="A495" s="54" t="s">
        <v>792</v>
      </c>
      <c r="B495" s="54" t="s">
        <v>793</v>
      </c>
      <c r="C495" s="54" t="s">
        <v>1038</v>
      </c>
    </row>
    <row r="496">
      <c r="A496" s="54" t="s">
        <v>794</v>
      </c>
      <c r="B496" s="54" t="s">
        <v>795</v>
      </c>
      <c r="C496" s="54" t="s">
        <v>1045</v>
      </c>
    </row>
    <row r="497">
      <c r="A497" s="54" t="s">
        <v>796</v>
      </c>
      <c r="B497" s="54" t="s">
        <v>273</v>
      </c>
      <c r="C497" s="54" t="s">
        <v>1065</v>
      </c>
    </row>
    <row r="498">
      <c r="A498" s="54" t="s">
        <v>797</v>
      </c>
      <c r="B498" s="54" t="s">
        <v>798</v>
      </c>
      <c r="C498" s="54" t="s">
        <v>1052</v>
      </c>
    </row>
    <row r="499">
      <c r="A499" s="54" t="s">
        <v>799</v>
      </c>
      <c r="B499" s="54" t="s">
        <v>131</v>
      </c>
      <c r="C499" s="54" t="s">
        <v>1041</v>
      </c>
    </row>
    <row r="500">
      <c r="A500" s="54" t="s">
        <v>800</v>
      </c>
      <c r="B500" s="54" t="s">
        <v>801</v>
      </c>
      <c r="C500" s="54" t="s">
        <v>1064</v>
      </c>
    </row>
    <row r="501">
      <c r="A501" s="54" t="s">
        <v>802</v>
      </c>
      <c r="B501" s="54" t="s">
        <v>614</v>
      </c>
      <c r="C501" s="54" t="s">
        <v>1039</v>
      </c>
    </row>
    <row r="502">
      <c r="A502" s="54" t="s">
        <v>803</v>
      </c>
      <c r="B502" s="54" t="s">
        <v>100</v>
      </c>
      <c r="C502" s="54" t="s">
        <v>1046</v>
      </c>
    </row>
    <row r="503">
      <c r="A503" s="54" t="s">
        <v>804</v>
      </c>
      <c r="B503" s="54" t="s">
        <v>805</v>
      </c>
      <c r="C503" s="54" t="s">
        <v>1041</v>
      </c>
    </row>
    <row r="504">
      <c r="A504" s="54" t="s">
        <v>806</v>
      </c>
      <c r="B504" s="54" t="s">
        <v>92</v>
      </c>
      <c r="C504" s="54" t="s">
        <v>1041</v>
      </c>
    </row>
    <row r="505">
      <c r="A505" s="54" t="s">
        <v>807</v>
      </c>
      <c r="B505" s="54" t="s">
        <v>808</v>
      </c>
      <c r="C505" s="54" t="s">
        <v>1054</v>
      </c>
    </row>
    <row r="506">
      <c r="A506" s="54" t="s">
        <v>809</v>
      </c>
      <c r="B506" s="54" t="s">
        <v>167</v>
      </c>
      <c r="C506" s="54" t="s">
        <v>1057</v>
      </c>
    </row>
    <row r="507">
      <c r="A507" s="54" t="s">
        <v>810</v>
      </c>
      <c r="B507" s="54" t="s">
        <v>68</v>
      </c>
      <c r="C507" s="54" t="s">
        <v>1039</v>
      </c>
    </row>
    <row r="508">
      <c r="A508" s="54" t="s">
        <v>811</v>
      </c>
      <c r="B508" s="54" t="s">
        <v>167</v>
      </c>
      <c r="C508" s="54" t="s">
        <v>1039</v>
      </c>
    </row>
    <row r="509">
      <c r="A509" s="54" t="s">
        <v>812</v>
      </c>
      <c r="B509" s="54" t="s">
        <v>248</v>
      </c>
      <c r="C509" s="54" t="s">
        <v>1063</v>
      </c>
    </row>
    <row r="510">
      <c r="A510" s="54" t="s">
        <v>813</v>
      </c>
      <c r="B510" s="54" t="s">
        <v>427</v>
      </c>
      <c r="C510" s="54" t="s">
        <v>1040</v>
      </c>
    </row>
    <row r="511">
      <c r="A511" s="54" t="s">
        <v>814</v>
      </c>
      <c r="B511" s="54" t="s">
        <v>125</v>
      </c>
      <c r="C511" s="54" t="s">
        <v>1063</v>
      </c>
    </row>
    <row r="512">
      <c r="A512" s="54" t="s">
        <v>815</v>
      </c>
      <c r="B512" s="54" t="s">
        <v>24</v>
      </c>
      <c r="C512" s="54" t="s">
        <v>1044</v>
      </c>
    </row>
    <row r="513">
      <c r="A513" s="54" t="s">
        <v>817</v>
      </c>
      <c r="B513" s="54" t="s">
        <v>24</v>
      </c>
      <c r="C513" s="54" t="s">
        <v>1039</v>
      </c>
    </row>
    <row r="514">
      <c r="A514" s="54" t="s">
        <v>818</v>
      </c>
      <c r="B514" s="54" t="s">
        <v>167</v>
      </c>
      <c r="C514" s="54" t="s">
        <v>1044</v>
      </c>
    </row>
    <row r="515">
      <c r="A515" s="54" t="s">
        <v>819</v>
      </c>
      <c r="B515" s="54" t="s">
        <v>117</v>
      </c>
      <c r="C515" s="54" t="s">
        <v>1038</v>
      </c>
    </row>
    <row r="516">
      <c r="A516" s="54" t="s">
        <v>819</v>
      </c>
      <c r="B516" s="54" t="s">
        <v>117</v>
      </c>
      <c r="C516" s="54" t="s">
        <v>1059</v>
      </c>
    </row>
    <row r="517">
      <c r="A517" s="54" t="s">
        <v>820</v>
      </c>
      <c r="B517" s="54" t="s">
        <v>821</v>
      </c>
      <c r="C517" s="54" t="s">
        <v>1044</v>
      </c>
    </row>
    <row r="518">
      <c r="A518" s="54" t="s">
        <v>822</v>
      </c>
      <c r="B518" s="54" t="s">
        <v>83</v>
      </c>
      <c r="C518" s="54" t="s">
        <v>1041</v>
      </c>
    </row>
    <row r="519">
      <c r="A519" s="54" t="s">
        <v>823</v>
      </c>
      <c r="B519" s="54" t="s">
        <v>824</v>
      </c>
      <c r="C519" s="54" t="s">
        <v>1056</v>
      </c>
    </row>
    <row r="520">
      <c r="A520" s="54" t="s">
        <v>825</v>
      </c>
      <c r="B520" s="54" t="s">
        <v>317</v>
      </c>
      <c r="C520" s="54" t="s">
        <v>1039</v>
      </c>
    </row>
    <row r="521">
      <c r="A521" s="54" t="s">
        <v>826</v>
      </c>
      <c r="B521" s="54" t="s">
        <v>827</v>
      </c>
      <c r="C521" s="54" t="s">
        <v>1039</v>
      </c>
    </row>
    <row r="522">
      <c r="A522" s="54" t="s">
        <v>828</v>
      </c>
      <c r="B522" s="54" t="s">
        <v>100</v>
      </c>
      <c r="C522" s="54" t="s">
        <v>1038</v>
      </c>
    </row>
    <row r="523">
      <c r="A523" s="54" t="s">
        <v>829</v>
      </c>
      <c r="B523" s="54" t="s">
        <v>608</v>
      </c>
      <c r="C523" s="54" t="s">
        <v>1039</v>
      </c>
    </row>
    <row r="524">
      <c r="A524" s="54" t="s">
        <v>830</v>
      </c>
      <c r="B524" s="54" t="s">
        <v>831</v>
      </c>
      <c r="C524" s="54" t="s">
        <v>1050</v>
      </c>
    </row>
    <row r="525">
      <c r="A525" s="54" t="s">
        <v>832</v>
      </c>
      <c r="B525" s="54" t="s">
        <v>638</v>
      </c>
      <c r="C525" s="54" t="s">
        <v>1042</v>
      </c>
    </row>
    <row r="526">
      <c r="A526" s="54" t="s">
        <v>833</v>
      </c>
      <c r="B526" s="54" t="s">
        <v>510</v>
      </c>
      <c r="C526" s="54" t="s">
        <v>1058</v>
      </c>
    </row>
    <row r="527">
      <c r="A527" s="54" t="s">
        <v>834</v>
      </c>
      <c r="B527" s="54" t="s">
        <v>273</v>
      </c>
      <c r="C527" s="54" t="s">
        <v>1040</v>
      </c>
    </row>
    <row r="528">
      <c r="A528" s="54" t="s">
        <v>835</v>
      </c>
      <c r="B528" s="54" t="s">
        <v>151</v>
      </c>
      <c r="C528" s="54" t="s">
        <v>1042</v>
      </c>
    </row>
    <row r="529">
      <c r="A529" s="54" t="s">
        <v>836</v>
      </c>
      <c r="B529" s="54" t="s">
        <v>837</v>
      </c>
      <c r="C529" s="54" t="s">
        <v>1065</v>
      </c>
    </row>
    <row r="530">
      <c r="A530" s="54" t="s">
        <v>838</v>
      </c>
      <c r="B530" s="54" t="s">
        <v>66</v>
      </c>
    </row>
    <row r="531">
      <c r="A531" s="54" t="s">
        <v>839</v>
      </c>
      <c r="B531" s="54" t="s">
        <v>840</v>
      </c>
      <c r="C531" s="54" t="s">
        <v>1041</v>
      </c>
    </row>
    <row r="532">
      <c r="A532" s="54" t="s">
        <v>841</v>
      </c>
      <c r="B532" s="54" t="s">
        <v>608</v>
      </c>
      <c r="C532" s="54" t="s">
        <v>1051</v>
      </c>
    </row>
    <row r="533">
      <c r="A533" s="54" t="s">
        <v>842</v>
      </c>
      <c r="B533" s="54" t="s">
        <v>83</v>
      </c>
      <c r="C533" s="54" t="s">
        <v>1039</v>
      </c>
    </row>
    <row r="534">
      <c r="A534" s="54" t="s">
        <v>843</v>
      </c>
      <c r="B534" s="54" t="s">
        <v>844</v>
      </c>
      <c r="C534" s="54" t="s">
        <v>1052</v>
      </c>
    </row>
    <row r="535">
      <c r="A535" s="54" t="s">
        <v>845</v>
      </c>
      <c r="B535" s="54" t="s">
        <v>846</v>
      </c>
      <c r="C535" s="54" t="s">
        <v>1052</v>
      </c>
    </row>
    <row r="536">
      <c r="A536" s="54" t="s">
        <v>847</v>
      </c>
      <c r="B536" s="54" t="s">
        <v>301</v>
      </c>
      <c r="C536" s="54" t="s">
        <v>1063</v>
      </c>
    </row>
    <row r="537">
      <c r="A537" s="54" t="s">
        <v>848</v>
      </c>
      <c r="B537" s="54" t="s">
        <v>510</v>
      </c>
      <c r="C537" s="54" t="s">
        <v>1039</v>
      </c>
    </row>
    <row r="538">
      <c r="A538" s="54" t="s">
        <v>849</v>
      </c>
      <c r="B538" s="54" t="s">
        <v>131</v>
      </c>
      <c r="C538" s="54" t="s">
        <v>1062</v>
      </c>
    </row>
    <row r="539">
      <c r="A539" s="54" t="s">
        <v>850</v>
      </c>
      <c r="B539" s="54" t="s">
        <v>851</v>
      </c>
      <c r="C539" s="54" t="s">
        <v>1064</v>
      </c>
    </row>
    <row r="540">
      <c r="A540" s="54" t="s">
        <v>852</v>
      </c>
      <c r="B540" s="54" t="s">
        <v>433</v>
      </c>
      <c r="C540" s="54" t="s">
        <v>1039</v>
      </c>
    </row>
    <row r="541">
      <c r="A541" s="54" t="s">
        <v>853</v>
      </c>
      <c r="B541" s="54" t="s">
        <v>83</v>
      </c>
      <c r="C541" s="54" t="s">
        <v>1039</v>
      </c>
    </row>
    <row r="542">
      <c r="A542" s="54" t="s">
        <v>854</v>
      </c>
      <c r="B542" s="54" t="s">
        <v>855</v>
      </c>
      <c r="C542" s="54" t="s">
        <v>1054</v>
      </c>
    </row>
    <row r="543">
      <c r="A543" s="54" t="s">
        <v>856</v>
      </c>
      <c r="B543" s="54" t="s">
        <v>857</v>
      </c>
      <c r="C543" s="54" t="s">
        <v>1044</v>
      </c>
    </row>
    <row r="544">
      <c r="A544" s="54" t="s">
        <v>858</v>
      </c>
      <c r="B544" s="54" t="s">
        <v>433</v>
      </c>
      <c r="C544" s="54" t="s">
        <v>1039</v>
      </c>
    </row>
    <row r="545">
      <c r="A545" s="54" t="s">
        <v>859</v>
      </c>
      <c r="B545" s="54" t="s">
        <v>131</v>
      </c>
      <c r="C545" s="54" t="s">
        <v>1057</v>
      </c>
    </row>
    <row r="546">
      <c r="A546" s="54" t="s">
        <v>860</v>
      </c>
      <c r="B546" s="54" t="s">
        <v>861</v>
      </c>
      <c r="C546" s="54" t="s">
        <v>1039</v>
      </c>
    </row>
    <row r="547">
      <c r="A547" s="54" t="s">
        <v>862</v>
      </c>
      <c r="B547" s="54" t="s">
        <v>280</v>
      </c>
      <c r="C547" s="54" t="s">
        <v>1044</v>
      </c>
    </row>
    <row r="548">
      <c r="A548" s="54" t="s">
        <v>863</v>
      </c>
      <c r="B548" s="54" t="s">
        <v>83</v>
      </c>
      <c r="C548" s="54" t="s">
        <v>1056</v>
      </c>
    </row>
    <row r="549">
      <c r="A549" s="54" t="s">
        <v>864</v>
      </c>
      <c r="B549" s="54" t="s">
        <v>433</v>
      </c>
      <c r="C549" s="54" t="s">
        <v>1069</v>
      </c>
    </row>
    <row r="550">
      <c r="A550" s="54" t="s">
        <v>865</v>
      </c>
      <c r="B550" s="54" t="s">
        <v>866</v>
      </c>
      <c r="C550" s="54" t="s">
        <v>1039</v>
      </c>
    </row>
    <row r="551">
      <c r="A551" s="54" t="s">
        <v>867</v>
      </c>
      <c r="B551" s="54" t="s">
        <v>433</v>
      </c>
      <c r="C551" s="54" t="s">
        <v>1061</v>
      </c>
    </row>
    <row r="552">
      <c r="A552" s="54" t="s">
        <v>868</v>
      </c>
      <c r="B552" s="54" t="s">
        <v>433</v>
      </c>
      <c r="C552" s="54" t="s">
        <v>1041</v>
      </c>
    </row>
    <row r="553">
      <c r="A553" s="54" t="s">
        <v>869</v>
      </c>
      <c r="B553" s="54" t="s">
        <v>870</v>
      </c>
      <c r="C553" s="54" t="s">
        <v>1039</v>
      </c>
    </row>
    <row r="554">
      <c r="A554" s="54" t="s">
        <v>871</v>
      </c>
      <c r="B554" s="54" t="s">
        <v>872</v>
      </c>
      <c r="C554" s="54" t="s">
        <v>1041</v>
      </c>
    </row>
    <row r="555">
      <c r="A555" s="54" t="s">
        <v>873</v>
      </c>
      <c r="B555" s="54" t="s">
        <v>473</v>
      </c>
      <c r="C555" s="54" t="s">
        <v>1057</v>
      </c>
    </row>
    <row r="556">
      <c r="A556" s="54" t="s">
        <v>874</v>
      </c>
      <c r="B556" s="54" t="s">
        <v>319</v>
      </c>
      <c r="C556" s="54" t="s">
        <v>1039</v>
      </c>
    </row>
    <row r="557">
      <c r="A557" s="54" t="s">
        <v>875</v>
      </c>
      <c r="B557" s="54" t="s">
        <v>73</v>
      </c>
      <c r="C557" s="54" t="s">
        <v>1063</v>
      </c>
    </row>
    <row r="558">
      <c r="A558" s="54" t="s">
        <v>876</v>
      </c>
      <c r="B558" s="54" t="s">
        <v>877</v>
      </c>
      <c r="C558" s="54" t="s">
        <v>1039</v>
      </c>
    </row>
    <row r="559">
      <c r="A559" s="54" t="s">
        <v>878</v>
      </c>
      <c r="B559" s="54" t="s">
        <v>879</v>
      </c>
      <c r="C559" s="54" t="s">
        <v>1059</v>
      </c>
    </row>
    <row r="560">
      <c r="A560" s="54" t="s">
        <v>880</v>
      </c>
      <c r="B560" s="54" t="s">
        <v>24</v>
      </c>
      <c r="C560" s="54" t="s">
        <v>1039</v>
      </c>
    </row>
    <row r="561">
      <c r="A561" s="54" t="s">
        <v>881</v>
      </c>
      <c r="B561" s="54" t="s">
        <v>24</v>
      </c>
      <c r="C561" s="54" t="s">
        <v>1044</v>
      </c>
    </row>
    <row r="562">
      <c r="A562" s="54" t="s">
        <v>882</v>
      </c>
      <c r="B562" s="54" t="s">
        <v>433</v>
      </c>
      <c r="C562" s="54" t="s">
        <v>1059</v>
      </c>
    </row>
    <row r="563">
      <c r="A563" s="54" t="s">
        <v>883</v>
      </c>
      <c r="B563" s="54" t="s">
        <v>884</v>
      </c>
      <c r="C563" s="54" t="s">
        <v>1063</v>
      </c>
    </row>
    <row r="564">
      <c r="A564" s="54" t="s">
        <v>885</v>
      </c>
      <c r="B564" s="54" t="s">
        <v>886</v>
      </c>
      <c r="C564" s="54" t="s">
        <v>1046</v>
      </c>
    </row>
    <row r="565">
      <c r="A565" s="54" t="s">
        <v>887</v>
      </c>
      <c r="B565" s="54" t="s">
        <v>888</v>
      </c>
      <c r="C565" s="54" t="s">
        <v>1039</v>
      </c>
    </row>
    <row r="566">
      <c r="A566" s="54" t="s">
        <v>889</v>
      </c>
      <c r="B566" s="54" t="s">
        <v>890</v>
      </c>
      <c r="C566" s="54" t="s">
        <v>1039</v>
      </c>
    </row>
    <row r="567">
      <c r="A567" s="54" t="s">
        <v>891</v>
      </c>
      <c r="B567" s="54" t="s">
        <v>427</v>
      </c>
      <c r="C567" s="54" t="s">
        <v>1039</v>
      </c>
    </row>
    <row r="568">
      <c r="A568" s="54" t="s">
        <v>892</v>
      </c>
      <c r="B568" s="54" t="s">
        <v>151</v>
      </c>
      <c r="C568" s="54" t="s">
        <v>1049</v>
      </c>
    </row>
    <row r="569">
      <c r="A569" s="54" t="s">
        <v>893</v>
      </c>
      <c r="B569" s="54" t="s">
        <v>894</v>
      </c>
      <c r="C569" s="54" t="s">
        <v>1044</v>
      </c>
    </row>
    <row r="570">
      <c r="A570" s="54" t="s">
        <v>895</v>
      </c>
      <c r="B570" s="54" t="s">
        <v>117</v>
      </c>
      <c r="C570" s="54" t="s">
        <v>1041</v>
      </c>
    </row>
    <row r="571">
      <c r="A571" s="54" t="s">
        <v>896</v>
      </c>
      <c r="B571" s="54" t="s">
        <v>510</v>
      </c>
      <c r="C571" s="54" t="s">
        <v>1045</v>
      </c>
    </row>
    <row r="572">
      <c r="A572" s="54" t="s">
        <v>897</v>
      </c>
      <c r="B572" s="54" t="s">
        <v>577</v>
      </c>
      <c r="C572" s="54" t="s">
        <v>1061</v>
      </c>
    </row>
    <row r="573">
      <c r="A573" s="54" t="s">
        <v>898</v>
      </c>
      <c r="B573" s="54" t="s">
        <v>855</v>
      </c>
      <c r="C573" s="54" t="s">
        <v>1064</v>
      </c>
    </row>
    <row r="574">
      <c r="A574" s="54" t="s">
        <v>899</v>
      </c>
      <c r="B574" s="54" t="s">
        <v>900</v>
      </c>
      <c r="C574" s="54" t="s">
        <v>1038</v>
      </c>
    </row>
    <row r="575">
      <c r="A575" s="54" t="s">
        <v>901</v>
      </c>
      <c r="B575" s="54" t="s">
        <v>296</v>
      </c>
      <c r="C575" s="54" t="s">
        <v>1039</v>
      </c>
    </row>
    <row r="576">
      <c r="A576" s="54" t="s">
        <v>902</v>
      </c>
      <c r="B576" s="54" t="s">
        <v>24</v>
      </c>
      <c r="C576" s="54" t="s">
        <v>1039</v>
      </c>
    </row>
    <row r="577">
      <c r="A577" s="54" t="s">
        <v>903</v>
      </c>
      <c r="B577" s="54" t="s">
        <v>100</v>
      </c>
      <c r="C577" s="54" t="s">
        <v>1039</v>
      </c>
    </row>
    <row r="578">
      <c r="A578" s="54" t="s">
        <v>904</v>
      </c>
      <c r="B578" s="54" t="s">
        <v>317</v>
      </c>
      <c r="C578" s="54" t="s">
        <v>1046</v>
      </c>
    </row>
    <row r="579">
      <c r="A579" s="54" t="s">
        <v>905</v>
      </c>
      <c r="B579" s="54" t="s">
        <v>24</v>
      </c>
      <c r="C579" s="54" t="s">
        <v>1039</v>
      </c>
    </row>
    <row r="580">
      <c r="A580" s="54" t="s">
        <v>906</v>
      </c>
      <c r="B580" s="54" t="s">
        <v>131</v>
      </c>
      <c r="C580" s="54" t="s">
        <v>1044</v>
      </c>
    </row>
    <row r="581">
      <c r="A581" s="54" t="s">
        <v>907</v>
      </c>
      <c r="B581" s="54" t="s">
        <v>83</v>
      </c>
      <c r="C581" s="54" t="s">
        <v>1039</v>
      </c>
    </row>
    <row r="582">
      <c r="A582" s="54" t="s">
        <v>908</v>
      </c>
      <c r="B582" s="54" t="s">
        <v>24</v>
      </c>
      <c r="C582" s="54" t="s">
        <v>1041</v>
      </c>
    </row>
    <row r="583">
      <c r="A583" s="54" t="s">
        <v>908</v>
      </c>
      <c r="B583" s="54" t="s">
        <v>24</v>
      </c>
      <c r="C583" s="54" t="s">
        <v>1045</v>
      </c>
    </row>
    <row r="584">
      <c r="A584" s="54" t="s">
        <v>909</v>
      </c>
      <c r="B584" s="54" t="s">
        <v>433</v>
      </c>
      <c r="C584" s="54" t="s">
        <v>1058</v>
      </c>
    </row>
    <row r="585">
      <c r="A585" s="54" t="s">
        <v>910</v>
      </c>
      <c r="B585" s="54" t="s">
        <v>911</v>
      </c>
      <c r="C585" s="54" t="s">
        <v>1064</v>
      </c>
    </row>
    <row r="586">
      <c r="A586" s="54" t="s">
        <v>912</v>
      </c>
      <c r="B586" s="54" t="s">
        <v>913</v>
      </c>
    </row>
    <row r="587">
      <c r="A587" s="54" t="s">
        <v>914</v>
      </c>
      <c r="B587" s="54" t="s">
        <v>510</v>
      </c>
      <c r="C587" s="54" t="s">
        <v>1067</v>
      </c>
    </row>
    <row r="588">
      <c r="A588" s="54" t="s">
        <v>915</v>
      </c>
      <c r="B588" s="54" t="s">
        <v>117</v>
      </c>
      <c r="C588" s="54" t="s">
        <v>1041</v>
      </c>
    </row>
    <row r="589">
      <c r="A589" s="54" t="s">
        <v>916</v>
      </c>
      <c r="B589" s="54" t="s">
        <v>24</v>
      </c>
      <c r="C589" s="54" t="s">
        <v>1044</v>
      </c>
    </row>
    <row r="590">
      <c r="A590" s="54" t="s">
        <v>917</v>
      </c>
      <c r="B590" s="54" t="s">
        <v>131</v>
      </c>
      <c r="C590" s="54" t="s">
        <v>1048</v>
      </c>
    </row>
    <row r="591">
      <c r="A591" s="54" t="s">
        <v>918</v>
      </c>
      <c r="B591" s="54" t="s">
        <v>224</v>
      </c>
      <c r="C591" s="54" t="s">
        <v>1057</v>
      </c>
    </row>
    <row r="592">
      <c r="A592" s="54" t="s">
        <v>919</v>
      </c>
      <c r="B592" s="54" t="s">
        <v>100</v>
      </c>
      <c r="C592" s="54" t="s">
        <v>1046</v>
      </c>
    </row>
    <row r="593">
      <c r="A593" s="54" t="s">
        <v>920</v>
      </c>
      <c r="B593" s="54" t="s">
        <v>921</v>
      </c>
      <c r="C593" s="54" t="s">
        <v>1056</v>
      </c>
    </row>
    <row r="594">
      <c r="A594" s="54" t="s">
        <v>922</v>
      </c>
      <c r="B594" s="54" t="s">
        <v>100</v>
      </c>
      <c r="C594" s="54" t="s">
        <v>1041</v>
      </c>
    </row>
    <row r="595">
      <c r="A595" s="54" t="s">
        <v>923</v>
      </c>
      <c r="B595" s="54" t="s">
        <v>924</v>
      </c>
      <c r="C595" s="54" t="s">
        <v>1063</v>
      </c>
    </row>
    <row r="596">
      <c r="A596" s="54" t="s">
        <v>925</v>
      </c>
      <c r="B596" s="54" t="s">
        <v>926</v>
      </c>
      <c r="C596" s="54" t="s">
        <v>1046</v>
      </c>
    </row>
    <row r="597">
      <c r="A597" s="54" t="s">
        <v>927</v>
      </c>
      <c r="B597" s="54" t="s">
        <v>131</v>
      </c>
      <c r="C597" s="54" t="s">
        <v>1041</v>
      </c>
    </row>
    <row r="598">
      <c r="A598" s="54" t="s">
        <v>928</v>
      </c>
      <c r="B598" s="54" t="s">
        <v>929</v>
      </c>
      <c r="C598" s="54" t="s">
        <v>1041</v>
      </c>
    </row>
    <row r="599">
      <c r="A599" s="54" t="s">
        <v>930</v>
      </c>
      <c r="B599" s="54" t="s">
        <v>83</v>
      </c>
      <c r="C599" s="54" t="s">
        <v>1044</v>
      </c>
    </row>
    <row r="600">
      <c r="A600" s="54" t="s">
        <v>931</v>
      </c>
      <c r="B600" s="54" t="s">
        <v>131</v>
      </c>
      <c r="C600" s="54" t="s">
        <v>1041</v>
      </c>
    </row>
    <row r="601">
      <c r="A601" s="54" t="s">
        <v>932</v>
      </c>
      <c r="B601" s="54" t="s">
        <v>933</v>
      </c>
      <c r="C601" s="54" t="s">
        <v>1056</v>
      </c>
    </row>
    <row r="602">
      <c r="A602" s="54" t="s">
        <v>934</v>
      </c>
      <c r="B602" s="54" t="s">
        <v>134</v>
      </c>
      <c r="C602" s="54" t="s">
        <v>1067</v>
      </c>
    </row>
    <row r="603">
      <c r="A603" s="54" t="s">
        <v>935</v>
      </c>
      <c r="B603" s="54" t="s">
        <v>936</v>
      </c>
      <c r="C603" s="54" t="s">
        <v>1053</v>
      </c>
    </row>
    <row r="604">
      <c r="A604" s="54" t="s">
        <v>937</v>
      </c>
      <c r="B604" s="54" t="s">
        <v>770</v>
      </c>
      <c r="C604" s="54" t="s">
        <v>1056</v>
      </c>
    </row>
    <row r="605">
      <c r="A605" s="54" t="s">
        <v>938</v>
      </c>
      <c r="B605" s="54" t="s">
        <v>51</v>
      </c>
      <c r="C605" s="54" t="s">
        <v>1043</v>
      </c>
    </row>
    <row r="606">
      <c r="A606" s="54" t="s">
        <v>939</v>
      </c>
      <c r="B606" s="54" t="s">
        <v>169</v>
      </c>
      <c r="C606" s="54" t="s">
        <v>1046</v>
      </c>
    </row>
    <row r="607">
      <c r="A607" s="54" t="s">
        <v>940</v>
      </c>
      <c r="B607" s="54" t="s">
        <v>286</v>
      </c>
      <c r="C607" s="54" t="s">
        <v>1039</v>
      </c>
    </row>
    <row r="608">
      <c r="A608" s="63" t="s">
        <v>941</v>
      </c>
      <c r="B608" s="54" t="s">
        <v>473</v>
      </c>
      <c r="C608" s="54" t="s">
        <v>1041</v>
      </c>
    </row>
    <row r="609">
      <c r="A609" s="54" t="s">
        <v>942</v>
      </c>
      <c r="B609" s="54" t="s">
        <v>273</v>
      </c>
      <c r="C609" s="54" t="s">
        <v>1041</v>
      </c>
    </row>
    <row r="610">
      <c r="A610" s="54" t="s">
        <v>943</v>
      </c>
      <c r="B610" s="54" t="s">
        <v>40</v>
      </c>
      <c r="C610" s="54" t="s">
        <v>1048</v>
      </c>
    </row>
    <row r="611">
      <c r="A611" s="54" t="s">
        <v>944</v>
      </c>
      <c r="B611" s="54" t="s">
        <v>633</v>
      </c>
      <c r="C611" s="54" t="s">
        <v>1061</v>
      </c>
    </row>
  </sheetData>
  <hyperlinks>
    <hyperlink r:id="rId1" ref="A25"/>
    <hyperlink r:id="rId2" ref="A109"/>
    <hyperlink r:id="rId3" ref="A359"/>
    <hyperlink r:id="rId4" ref="A491"/>
    <hyperlink r:id="rId5" ref="A608"/>
  </hyperlinks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</cols>
  <sheetData>
    <row r="1">
      <c r="A1" s="65" t="s">
        <v>3</v>
      </c>
      <c r="B1" s="65" t="s">
        <v>4</v>
      </c>
      <c r="C1" s="65" t="s">
        <v>945</v>
      </c>
    </row>
    <row r="2">
      <c r="A2" s="54" t="s">
        <v>15</v>
      </c>
      <c r="B2" s="54" t="s">
        <v>16</v>
      </c>
      <c r="C2" s="54" t="s">
        <v>946</v>
      </c>
    </row>
    <row r="3">
      <c r="A3" s="54" t="s">
        <v>21</v>
      </c>
      <c r="B3" s="54" t="s">
        <v>22</v>
      </c>
      <c r="C3" s="54" t="s">
        <v>23</v>
      </c>
    </row>
    <row r="4">
      <c r="A4" s="55">
        <v>0.25</v>
      </c>
      <c r="B4" s="54" t="s">
        <v>26</v>
      </c>
      <c r="C4" s="54" t="s">
        <v>26</v>
      </c>
    </row>
    <row r="5">
      <c r="A5" s="54" t="s">
        <v>28</v>
      </c>
      <c r="B5" s="54" t="s">
        <v>16</v>
      </c>
      <c r="C5" s="54" t="s">
        <v>29</v>
      </c>
    </row>
    <row r="6">
      <c r="A6" s="54" t="s">
        <v>33</v>
      </c>
      <c r="B6" s="54" t="s">
        <v>16</v>
      </c>
      <c r="C6" s="54" t="s">
        <v>29</v>
      </c>
    </row>
    <row r="7">
      <c r="A7" s="54" t="s">
        <v>37</v>
      </c>
      <c r="B7" s="54" t="s">
        <v>38</v>
      </c>
      <c r="C7" s="54" t="s">
        <v>39</v>
      </c>
    </row>
    <row r="8">
      <c r="A8" s="54" t="s">
        <v>41</v>
      </c>
      <c r="B8" s="54" t="s">
        <v>42</v>
      </c>
      <c r="C8" s="54" t="s">
        <v>947</v>
      </c>
    </row>
    <row r="9">
      <c r="A9" s="54" t="s">
        <v>45</v>
      </c>
      <c r="B9" s="54" t="s">
        <v>46</v>
      </c>
      <c r="C9" s="54" t="s">
        <v>948</v>
      </c>
    </row>
    <row r="10">
      <c r="A10" s="54" t="s">
        <v>48</v>
      </c>
      <c r="B10" s="54" t="s">
        <v>46</v>
      </c>
      <c r="C10" s="54" t="s">
        <v>949</v>
      </c>
    </row>
    <row r="11">
      <c r="A11" s="54" t="s">
        <v>50</v>
      </c>
      <c r="B11" s="54" t="s">
        <v>46</v>
      </c>
      <c r="C11" s="54" t="s">
        <v>948</v>
      </c>
    </row>
    <row r="12">
      <c r="A12" s="54" t="s">
        <v>52</v>
      </c>
      <c r="B12" s="54" t="s">
        <v>38</v>
      </c>
      <c r="C12" s="54" t="s">
        <v>950</v>
      </c>
    </row>
    <row r="13">
      <c r="A13" s="54" t="s">
        <v>55</v>
      </c>
      <c r="B13" s="54" t="s">
        <v>56</v>
      </c>
      <c r="C13" s="54" t="s">
        <v>951</v>
      </c>
    </row>
    <row r="14">
      <c r="A14" s="54" t="s">
        <v>58</v>
      </c>
      <c r="B14" s="54" t="s">
        <v>22</v>
      </c>
      <c r="C14" s="54" t="s">
        <v>952</v>
      </c>
    </row>
    <row r="15">
      <c r="A15" s="54" t="s">
        <v>60</v>
      </c>
      <c r="B15" s="54" t="s">
        <v>22</v>
      </c>
      <c r="C15" s="54" t="s">
        <v>953</v>
      </c>
    </row>
    <row r="16">
      <c r="A16" s="54" t="s">
        <v>63</v>
      </c>
      <c r="B16" s="54" t="s">
        <v>64</v>
      </c>
      <c r="C16" s="54" t="s">
        <v>954</v>
      </c>
    </row>
    <row r="17">
      <c r="A17" s="54" t="s">
        <v>67</v>
      </c>
      <c r="B17" s="54" t="s">
        <v>22</v>
      </c>
      <c r="C17" s="54" t="s">
        <v>955</v>
      </c>
    </row>
    <row r="18">
      <c r="A18" s="54" t="s">
        <v>69</v>
      </c>
      <c r="B18" s="54" t="s">
        <v>22</v>
      </c>
      <c r="C18" s="54" t="s">
        <v>956</v>
      </c>
    </row>
    <row r="19">
      <c r="A19" s="54" t="s">
        <v>71</v>
      </c>
      <c r="B19" s="54" t="s">
        <v>72</v>
      </c>
      <c r="C19" s="54" t="s">
        <v>957</v>
      </c>
    </row>
    <row r="20">
      <c r="A20" s="54" t="s">
        <v>74</v>
      </c>
      <c r="B20" s="54" t="s">
        <v>22</v>
      </c>
      <c r="C20" s="54" t="s">
        <v>952</v>
      </c>
    </row>
    <row r="21">
      <c r="A21" s="54" t="s">
        <v>75</v>
      </c>
      <c r="B21" s="54" t="s">
        <v>46</v>
      </c>
      <c r="C21" s="54" t="s">
        <v>958</v>
      </c>
    </row>
    <row r="22">
      <c r="A22" s="54" t="s">
        <v>78</v>
      </c>
      <c r="B22" s="54" t="s">
        <v>38</v>
      </c>
      <c r="C22" s="54" t="s">
        <v>959</v>
      </c>
    </row>
    <row r="23">
      <c r="A23" s="54" t="s">
        <v>82</v>
      </c>
      <c r="B23" s="54" t="s">
        <v>38</v>
      </c>
      <c r="C23" s="54" t="s">
        <v>950</v>
      </c>
    </row>
    <row r="24">
      <c r="A24" s="54" t="s">
        <v>84</v>
      </c>
      <c r="B24" s="54" t="s">
        <v>46</v>
      </c>
      <c r="C24" s="54" t="s">
        <v>949</v>
      </c>
    </row>
    <row r="25">
      <c r="A25" s="54" t="s">
        <v>87</v>
      </c>
      <c r="B25" s="54" t="s">
        <v>22</v>
      </c>
      <c r="C25" s="54" t="s">
        <v>960</v>
      </c>
    </row>
    <row r="26">
      <c r="A26" s="54" t="s">
        <v>961</v>
      </c>
      <c r="B26" s="54" t="s">
        <v>16</v>
      </c>
      <c r="C26" s="54" t="s">
        <v>29</v>
      </c>
    </row>
    <row r="27">
      <c r="A27" s="54" t="s">
        <v>91</v>
      </c>
      <c r="B27" s="54" t="s">
        <v>64</v>
      </c>
      <c r="C27" s="54" t="s">
        <v>954</v>
      </c>
    </row>
    <row r="28">
      <c r="A28" s="54" t="s">
        <v>93</v>
      </c>
      <c r="B28" s="54" t="s">
        <v>46</v>
      </c>
      <c r="C28" s="54" t="s">
        <v>949</v>
      </c>
    </row>
    <row r="29">
      <c r="A29" s="54" t="s">
        <v>94</v>
      </c>
      <c r="B29" s="54" t="s">
        <v>16</v>
      </c>
      <c r="C29" s="54" t="s">
        <v>17</v>
      </c>
    </row>
    <row r="30">
      <c r="A30" s="54" t="s">
        <v>97</v>
      </c>
      <c r="B30" s="54" t="s">
        <v>72</v>
      </c>
      <c r="C30" s="54" t="s">
        <v>957</v>
      </c>
    </row>
    <row r="31">
      <c r="A31" s="54" t="s">
        <v>99</v>
      </c>
      <c r="B31" s="54" t="s">
        <v>22</v>
      </c>
      <c r="C31" s="54" t="s">
        <v>956</v>
      </c>
    </row>
    <row r="32">
      <c r="A32" s="54" t="s">
        <v>101</v>
      </c>
      <c r="B32" s="54" t="s">
        <v>22</v>
      </c>
      <c r="C32" s="54" t="s">
        <v>960</v>
      </c>
    </row>
    <row r="33">
      <c r="A33" s="54" t="s">
        <v>103</v>
      </c>
      <c r="B33" s="54" t="s">
        <v>46</v>
      </c>
      <c r="C33" s="54" t="s">
        <v>949</v>
      </c>
    </row>
    <row r="34">
      <c r="A34" s="54" t="s">
        <v>105</v>
      </c>
      <c r="B34" s="54" t="s">
        <v>22</v>
      </c>
      <c r="C34" s="54" t="s">
        <v>952</v>
      </c>
    </row>
    <row r="35">
      <c r="A35" s="54" t="s">
        <v>106</v>
      </c>
      <c r="B35" s="54" t="s">
        <v>16</v>
      </c>
      <c r="C35" s="54" t="s">
        <v>29</v>
      </c>
    </row>
    <row r="36">
      <c r="A36" s="54" t="s">
        <v>108</v>
      </c>
      <c r="B36" s="54" t="s">
        <v>64</v>
      </c>
      <c r="C36" s="54" t="s">
        <v>962</v>
      </c>
    </row>
    <row r="37">
      <c r="A37" s="54" t="s">
        <v>110</v>
      </c>
      <c r="B37" s="54" t="s">
        <v>111</v>
      </c>
      <c r="C37" s="54" t="s">
        <v>963</v>
      </c>
    </row>
    <row r="38">
      <c r="A38" s="54" t="s">
        <v>113</v>
      </c>
      <c r="B38" s="54" t="s">
        <v>42</v>
      </c>
      <c r="C38" s="54" t="s">
        <v>964</v>
      </c>
    </row>
    <row r="39">
      <c r="A39" s="54" t="s">
        <v>114</v>
      </c>
      <c r="B39" s="54" t="s">
        <v>22</v>
      </c>
      <c r="C39" s="54" t="s">
        <v>960</v>
      </c>
    </row>
    <row r="40">
      <c r="A40" s="54" t="s">
        <v>116</v>
      </c>
      <c r="B40" s="54" t="s">
        <v>46</v>
      </c>
      <c r="C40" s="54" t="s">
        <v>948</v>
      </c>
    </row>
    <row r="41">
      <c r="A41" s="54" t="s">
        <v>118</v>
      </c>
      <c r="B41" s="54" t="s">
        <v>42</v>
      </c>
      <c r="C41" s="54" t="s">
        <v>965</v>
      </c>
    </row>
    <row r="42">
      <c r="A42" s="54" t="s">
        <v>120</v>
      </c>
      <c r="B42" s="54" t="s">
        <v>16</v>
      </c>
      <c r="C42" s="54" t="s">
        <v>966</v>
      </c>
    </row>
    <row r="43">
      <c r="A43" s="54" t="s">
        <v>122</v>
      </c>
      <c r="B43" s="54" t="s">
        <v>56</v>
      </c>
      <c r="C43" s="54" t="s">
        <v>967</v>
      </c>
    </row>
    <row r="44">
      <c r="A44" s="54" t="s">
        <v>124</v>
      </c>
      <c r="B44" s="54" t="s">
        <v>56</v>
      </c>
      <c r="C44" s="54" t="s">
        <v>967</v>
      </c>
    </row>
    <row r="45">
      <c r="A45" s="54" t="s">
        <v>126</v>
      </c>
      <c r="B45" s="54" t="s">
        <v>46</v>
      </c>
      <c r="C45" s="54" t="s">
        <v>958</v>
      </c>
    </row>
    <row r="46">
      <c r="A46" s="54" t="s">
        <v>128</v>
      </c>
      <c r="B46" s="54" t="s">
        <v>46</v>
      </c>
      <c r="C46" s="54" t="s">
        <v>949</v>
      </c>
    </row>
    <row r="47">
      <c r="A47" s="54" t="s">
        <v>130</v>
      </c>
      <c r="B47" s="54" t="s">
        <v>46</v>
      </c>
      <c r="C47" s="54" t="s">
        <v>949</v>
      </c>
    </row>
    <row r="48">
      <c r="A48" s="54" t="s">
        <v>132</v>
      </c>
      <c r="B48" s="54" t="s">
        <v>38</v>
      </c>
      <c r="C48" s="54" t="s">
        <v>950</v>
      </c>
    </row>
    <row r="49">
      <c r="A49" s="54" t="s">
        <v>133</v>
      </c>
      <c r="B49" s="54" t="s">
        <v>22</v>
      </c>
      <c r="C49" s="54" t="s">
        <v>952</v>
      </c>
    </row>
    <row r="50">
      <c r="A50" s="54" t="s">
        <v>135</v>
      </c>
      <c r="B50" s="54" t="s">
        <v>22</v>
      </c>
      <c r="C50" s="54" t="s">
        <v>952</v>
      </c>
    </row>
    <row r="51">
      <c r="A51" s="54" t="s">
        <v>137</v>
      </c>
      <c r="B51" s="54" t="s">
        <v>16</v>
      </c>
      <c r="C51" s="54" t="s">
        <v>17</v>
      </c>
    </row>
    <row r="52">
      <c r="A52" s="54" t="s">
        <v>140</v>
      </c>
      <c r="B52" s="54" t="s">
        <v>22</v>
      </c>
      <c r="C52" s="54" t="s">
        <v>952</v>
      </c>
    </row>
    <row r="53">
      <c r="A53" s="54" t="s">
        <v>142</v>
      </c>
      <c r="B53" s="54" t="s">
        <v>72</v>
      </c>
      <c r="C53" s="54" t="s">
        <v>957</v>
      </c>
    </row>
    <row r="54">
      <c r="A54" s="54" t="s">
        <v>144</v>
      </c>
      <c r="B54" s="54" t="s">
        <v>46</v>
      </c>
      <c r="C54" s="54" t="s">
        <v>949</v>
      </c>
    </row>
    <row r="55">
      <c r="A55" s="54" t="s">
        <v>145</v>
      </c>
      <c r="B55" s="54" t="s">
        <v>46</v>
      </c>
      <c r="C55" s="54" t="s">
        <v>968</v>
      </c>
    </row>
    <row r="56">
      <c r="A56" s="54" t="s">
        <v>147</v>
      </c>
      <c r="B56" s="54" t="s">
        <v>46</v>
      </c>
      <c r="C56" s="54" t="s">
        <v>949</v>
      </c>
    </row>
    <row r="57">
      <c r="A57" s="54" t="s">
        <v>148</v>
      </c>
      <c r="B57" s="54" t="s">
        <v>56</v>
      </c>
      <c r="C57" s="54" t="s">
        <v>969</v>
      </c>
    </row>
    <row r="58">
      <c r="A58" s="54" t="s">
        <v>150</v>
      </c>
      <c r="B58" s="54" t="s">
        <v>22</v>
      </c>
      <c r="C58" s="54" t="s">
        <v>970</v>
      </c>
    </row>
    <row r="59">
      <c r="A59" s="54" t="s">
        <v>152</v>
      </c>
      <c r="B59" s="54" t="s">
        <v>46</v>
      </c>
      <c r="C59" s="54" t="s">
        <v>949</v>
      </c>
    </row>
    <row r="60">
      <c r="A60" s="54" t="s">
        <v>154</v>
      </c>
      <c r="B60" s="54" t="s">
        <v>38</v>
      </c>
      <c r="C60" s="54" t="s">
        <v>950</v>
      </c>
    </row>
    <row r="61">
      <c r="A61" s="54" t="s">
        <v>156</v>
      </c>
      <c r="B61" s="54" t="s">
        <v>22</v>
      </c>
      <c r="C61" s="54" t="s">
        <v>971</v>
      </c>
    </row>
    <row r="62">
      <c r="A62" s="54" t="s">
        <v>158</v>
      </c>
      <c r="B62" s="54" t="s">
        <v>16</v>
      </c>
      <c r="C62" s="54" t="s">
        <v>972</v>
      </c>
    </row>
    <row r="63">
      <c r="A63" s="54" t="s">
        <v>160</v>
      </c>
      <c r="B63" s="54" t="s">
        <v>46</v>
      </c>
      <c r="C63" s="54" t="s">
        <v>949</v>
      </c>
    </row>
    <row r="64">
      <c r="A64" s="54" t="s">
        <v>162</v>
      </c>
      <c r="B64" s="54" t="s">
        <v>46</v>
      </c>
      <c r="C64" s="54" t="s">
        <v>958</v>
      </c>
    </row>
    <row r="65">
      <c r="A65" s="54" t="s">
        <v>163</v>
      </c>
      <c r="B65" s="54" t="s">
        <v>56</v>
      </c>
      <c r="C65" s="54" t="s">
        <v>973</v>
      </c>
    </row>
    <row r="66">
      <c r="A66" s="54" t="s">
        <v>164</v>
      </c>
      <c r="B66" s="54" t="s">
        <v>72</v>
      </c>
      <c r="C66" s="54" t="s">
        <v>957</v>
      </c>
    </row>
    <row r="67">
      <c r="A67" s="54" t="s">
        <v>166</v>
      </c>
      <c r="B67" s="54" t="s">
        <v>72</v>
      </c>
      <c r="C67" s="54" t="s">
        <v>974</v>
      </c>
    </row>
    <row r="68">
      <c r="A68" s="54" t="s">
        <v>168</v>
      </c>
      <c r="B68" s="54" t="s">
        <v>64</v>
      </c>
      <c r="C68" s="54" t="s">
        <v>954</v>
      </c>
    </row>
    <row r="69">
      <c r="A69" s="54" t="s">
        <v>170</v>
      </c>
      <c r="B69" s="54" t="s">
        <v>56</v>
      </c>
      <c r="C69" s="54" t="s">
        <v>975</v>
      </c>
    </row>
    <row r="70">
      <c r="A70" s="54" t="s">
        <v>171</v>
      </c>
      <c r="B70" s="54" t="s">
        <v>46</v>
      </c>
      <c r="C70" s="54" t="s">
        <v>958</v>
      </c>
    </row>
    <row r="71">
      <c r="A71" s="54" t="s">
        <v>172</v>
      </c>
      <c r="B71" s="54" t="s">
        <v>72</v>
      </c>
      <c r="C71" s="54" t="s">
        <v>957</v>
      </c>
    </row>
    <row r="72">
      <c r="A72" s="54" t="s">
        <v>174</v>
      </c>
      <c r="B72" s="54" t="s">
        <v>42</v>
      </c>
      <c r="C72" s="54" t="s">
        <v>965</v>
      </c>
    </row>
    <row r="73">
      <c r="A73" s="54" t="s">
        <v>177</v>
      </c>
      <c r="B73" s="54" t="s">
        <v>56</v>
      </c>
      <c r="C73" s="54" t="s">
        <v>967</v>
      </c>
    </row>
    <row r="74">
      <c r="A74" s="54" t="s">
        <v>179</v>
      </c>
      <c r="B74" s="54" t="s">
        <v>22</v>
      </c>
      <c r="C74" s="54" t="s">
        <v>952</v>
      </c>
    </row>
    <row r="75">
      <c r="A75" s="54" t="s">
        <v>180</v>
      </c>
      <c r="B75" s="54" t="s">
        <v>22</v>
      </c>
      <c r="C75" s="54" t="s">
        <v>952</v>
      </c>
    </row>
    <row r="76">
      <c r="A76" s="54" t="s">
        <v>182</v>
      </c>
      <c r="B76" s="54" t="s">
        <v>22</v>
      </c>
      <c r="C76" s="54" t="s">
        <v>976</v>
      </c>
    </row>
    <row r="77">
      <c r="A77" s="54" t="s">
        <v>183</v>
      </c>
      <c r="B77" s="54" t="s">
        <v>72</v>
      </c>
      <c r="C77" s="54" t="s">
        <v>974</v>
      </c>
    </row>
    <row r="78">
      <c r="A78" s="54" t="s">
        <v>184</v>
      </c>
      <c r="B78" s="54" t="s">
        <v>56</v>
      </c>
      <c r="C78" s="54" t="s">
        <v>975</v>
      </c>
    </row>
    <row r="79">
      <c r="A79" s="54" t="s">
        <v>186</v>
      </c>
      <c r="B79" s="54" t="s">
        <v>46</v>
      </c>
      <c r="C79" s="54" t="s">
        <v>949</v>
      </c>
    </row>
    <row r="80">
      <c r="A80" s="54" t="s">
        <v>188</v>
      </c>
      <c r="B80" s="54" t="s">
        <v>56</v>
      </c>
      <c r="C80" s="54" t="s">
        <v>967</v>
      </c>
    </row>
    <row r="81">
      <c r="A81" s="54" t="s">
        <v>190</v>
      </c>
      <c r="B81" s="54" t="s">
        <v>46</v>
      </c>
      <c r="C81" s="54" t="s">
        <v>958</v>
      </c>
    </row>
    <row r="82">
      <c r="A82" s="54" t="s">
        <v>191</v>
      </c>
      <c r="B82" s="54" t="s">
        <v>22</v>
      </c>
      <c r="C82" s="54" t="s">
        <v>952</v>
      </c>
    </row>
    <row r="83">
      <c r="A83" s="54" t="s">
        <v>192</v>
      </c>
      <c r="B83" s="54" t="s">
        <v>16</v>
      </c>
      <c r="C83" s="54" t="s">
        <v>977</v>
      </c>
    </row>
    <row r="84">
      <c r="A84" s="54" t="s">
        <v>194</v>
      </c>
      <c r="B84" s="54" t="s">
        <v>42</v>
      </c>
      <c r="C84" s="54" t="s">
        <v>964</v>
      </c>
    </row>
    <row r="85">
      <c r="A85" s="54" t="s">
        <v>196</v>
      </c>
      <c r="B85" s="54" t="s">
        <v>56</v>
      </c>
      <c r="C85" s="54" t="s">
        <v>978</v>
      </c>
    </row>
    <row r="86">
      <c r="A86" s="54" t="s">
        <v>197</v>
      </c>
      <c r="B86" s="54" t="s">
        <v>16</v>
      </c>
      <c r="C86" s="54" t="s">
        <v>29</v>
      </c>
    </row>
    <row r="87">
      <c r="A87" s="54" t="s">
        <v>198</v>
      </c>
      <c r="B87" s="54" t="s">
        <v>16</v>
      </c>
      <c r="C87" s="54" t="s">
        <v>29</v>
      </c>
    </row>
    <row r="88">
      <c r="A88" s="54" t="s">
        <v>199</v>
      </c>
      <c r="B88" s="54" t="s">
        <v>72</v>
      </c>
      <c r="C88" s="54" t="s">
        <v>979</v>
      </c>
    </row>
    <row r="89">
      <c r="A89" s="54" t="s">
        <v>200</v>
      </c>
      <c r="B89" s="54" t="s">
        <v>64</v>
      </c>
      <c r="C89" s="54" t="s">
        <v>980</v>
      </c>
    </row>
    <row r="90">
      <c r="A90" s="54" t="s">
        <v>202</v>
      </c>
      <c r="B90" s="54" t="s">
        <v>22</v>
      </c>
      <c r="C90" s="54" t="s">
        <v>960</v>
      </c>
    </row>
    <row r="91">
      <c r="A91" s="54" t="s">
        <v>203</v>
      </c>
      <c r="B91" s="54" t="s">
        <v>38</v>
      </c>
      <c r="C91" s="54" t="s">
        <v>950</v>
      </c>
    </row>
    <row r="92">
      <c r="A92" s="54" t="s">
        <v>205</v>
      </c>
      <c r="B92" s="54" t="s">
        <v>111</v>
      </c>
      <c r="C92" s="54" t="s">
        <v>963</v>
      </c>
    </row>
    <row r="93">
      <c r="A93" s="54" t="s">
        <v>981</v>
      </c>
      <c r="B93" s="54" t="s">
        <v>16</v>
      </c>
      <c r="C93" s="54" t="s">
        <v>946</v>
      </c>
    </row>
    <row r="94">
      <c r="A94" s="54" t="s">
        <v>208</v>
      </c>
      <c r="B94" s="54" t="s">
        <v>111</v>
      </c>
      <c r="C94" s="54" t="s">
        <v>963</v>
      </c>
    </row>
    <row r="95">
      <c r="A95" s="54" t="s">
        <v>210</v>
      </c>
      <c r="B95" s="54" t="s">
        <v>22</v>
      </c>
      <c r="C95" s="54" t="s">
        <v>952</v>
      </c>
    </row>
    <row r="96">
      <c r="A96" s="54" t="s">
        <v>213</v>
      </c>
      <c r="B96" s="54" t="s">
        <v>72</v>
      </c>
      <c r="C96" s="54" t="s">
        <v>974</v>
      </c>
    </row>
    <row r="97">
      <c r="A97" s="54" t="s">
        <v>214</v>
      </c>
      <c r="B97" s="54" t="s">
        <v>16</v>
      </c>
      <c r="C97" s="54" t="s">
        <v>966</v>
      </c>
    </row>
    <row r="98">
      <c r="A98" s="54" t="s">
        <v>216</v>
      </c>
      <c r="B98" s="54" t="s">
        <v>217</v>
      </c>
      <c r="C98" s="54" t="s">
        <v>982</v>
      </c>
    </row>
    <row r="99">
      <c r="A99" s="54" t="s">
        <v>983</v>
      </c>
      <c r="B99" s="54" t="s">
        <v>220</v>
      </c>
      <c r="C99" s="54" t="s">
        <v>984</v>
      </c>
    </row>
    <row r="100">
      <c r="A100" s="54" t="s">
        <v>222</v>
      </c>
      <c r="B100" s="54" t="s">
        <v>22</v>
      </c>
      <c r="C100" s="54" t="s">
        <v>952</v>
      </c>
    </row>
    <row r="101">
      <c r="A101" s="54" t="s">
        <v>223</v>
      </c>
      <c r="B101" s="54" t="s">
        <v>46</v>
      </c>
      <c r="C101" s="54" t="s">
        <v>985</v>
      </c>
    </row>
    <row r="102">
      <c r="A102" s="54" t="s">
        <v>225</v>
      </c>
      <c r="B102" s="54" t="s">
        <v>22</v>
      </c>
      <c r="C102" s="54" t="s">
        <v>952</v>
      </c>
    </row>
    <row r="103">
      <c r="A103" s="54" t="s">
        <v>226</v>
      </c>
      <c r="B103" s="54" t="s">
        <v>46</v>
      </c>
      <c r="C103" s="54" t="s">
        <v>968</v>
      </c>
    </row>
    <row r="104">
      <c r="A104" s="54" t="s">
        <v>227</v>
      </c>
      <c r="B104" s="54" t="s">
        <v>22</v>
      </c>
      <c r="C104" s="54" t="s">
        <v>952</v>
      </c>
    </row>
    <row r="105">
      <c r="A105" s="54" t="s">
        <v>229</v>
      </c>
      <c r="B105" s="54" t="s">
        <v>56</v>
      </c>
      <c r="C105" s="54" t="s">
        <v>975</v>
      </c>
    </row>
    <row r="106">
      <c r="A106" s="54" t="s">
        <v>230</v>
      </c>
      <c r="B106" s="54" t="s">
        <v>56</v>
      </c>
      <c r="C106" s="54" t="s">
        <v>975</v>
      </c>
    </row>
    <row r="107">
      <c r="A107" s="54" t="s">
        <v>232</v>
      </c>
      <c r="B107" s="54" t="s">
        <v>22</v>
      </c>
      <c r="C107" s="54" t="s">
        <v>986</v>
      </c>
    </row>
    <row r="108">
      <c r="A108" s="54" t="s">
        <v>233</v>
      </c>
      <c r="B108" s="54" t="s">
        <v>46</v>
      </c>
      <c r="C108" s="54" t="s">
        <v>985</v>
      </c>
    </row>
    <row r="109">
      <c r="A109" s="54" t="s">
        <v>234</v>
      </c>
      <c r="B109" s="54" t="s">
        <v>72</v>
      </c>
      <c r="C109" s="54" t="s">
        <v>957</v>
      </c>
    </row>
    <row r="110">
      <c r="A110" s="54" t="s">
        <v>235</v>
      </c>
      <c r="B110" s="54" t="s">
        <v>16</v>
      </c>
      <c r="C110" s="54" t="s">
        <v>29</v>
      </c>
    </row>
    <row r="111">
      <c r="A111" s="54" t="s">
        <v>237</v>
      </c>
      <c r="B111" s="54" t="s">
        <v>16</v>
      </c>
      <c r="C111" s="54" t="s">
        <v>946</v>
      </c>
    </row>
    <row r="112">
      <c r="A112" s="54" t="s">
        <v>238</v>
      </c>
      <c r="B112" s="54" t="s">
        <v>38</v>
      </c>
      <c r="C112" s="54" t="s">
        <v>987</v>
      </c>
    </row>
    <row r="113">
      <c r="A113" s="54" t="s">
        <v>239</v>
      </c>
      <c r="B113" s="54" t="s">
        <v>111</v>
      </c>
      <c r="C113" s="54" t="s">
        <v>963</v>
      </c>
    </row>
    <row r="114">
      <c r="A114" s="54" t="s">
        <v>240</v>
      </c>
      <c r="B114" s="54" t="s">
        <v>38</v>
      </c>
      <c r="C114" s="54" t="s">
        <v>39</v>
      </c>
    </row>
    <row r="115">
      <c r="A115" s="54" t="s">
        <v>241</v>
      </c>
      <c r="B115" s="54" t="s">
        <v>22</v>
      </c>
      <c r="C115" s="54" t="s">
        <v>952</v>
      </c>
    </row>
    <row r="116">
      <c r="A116" s="54" t="s">
        <v>243</v>
      </c>
      <c r="B116" s="54" t="s">
        <v>22</v>
      </c>
      <c r="C116" s="54" t="s">
        <v>988</v>
      </c>
    </row>
    <row r="117">
      <c r="A117" s="54" t="s">
        <v>244</v>
      </c>
      <c r="B117" s="54" t="s">
        <v>22</v>
      </c>
      <c r="C117" s="54" t="s">
        <v>988</v>
      </c>
    </row>
    <row r="118">
      <c r="A118" s="54" t="s">
        <v>245</v>
      </c>
      <c r="B118" s="54" t="s">
        <v>64</v>
      </c>
      <c r="C118" s="54" t="s">
        <v>989</v>
      </c>
    </row>
    <row r="119">
      <c r="A119" s="54" t="s">
        <v>247</v>
      </c>
      <c r="B119" s="54" t="s">
        <v>72</v>
      </c>
      <c r="C119" s="54" t="s">
        <v>979</v>
      </c>
    </row>
    <row r="120">
      <c r="A120" s="54" t="s">
        <v>249</v>
      </c>
      <c r="B120" s="54" t="s">
        <v>46</v>
      </c>
      <c r="C120" s="54" t="s">
        <v>948</v>
      </c>
    </row>
    <row r="121">
      <c r="A121" s="54" t="s">
        <v>250</v>
      </c>
      <c r="B121" s="54" t="s">
        <v>22</v>
      </c>
      <c r="C121" s="54" t="s">
        <v>960</v>
      </c>
    </row>
    <row r="122">
      <c r="A122" s="54" t="s">
        <v>252</v>
      </c>
      <c r="B122" s="54" t="s">
        <v>42</v>
      </c>
      <c r="C122" s="54" t="s">
        <v>965</v>
      </c>
    </row>
    <row r="123">
      <c r="A123" s="54" t="s">
        <v>254</v>
      </c>
      <c r="B123" s="54" t="s">
        <v>46</v>
      </c>
      <c r="C123" s="54" t="s">
        <v>985</v>
      </c>
    </row>
    <row r="124">
      <c r="A124" s="54" t="s">
        <v>255</v>
      </c>
      <c r="B124" s="54" t="s">
        <v>22</v>
      </c>
      <c r="C124" s="54" t="s">
        <v>960</v>
      </c>
    </row>
    <row r="125">
      <c r="A125" s="54" t="s">
        <v>256</v>
      </c>
      <c r="B125" s="54" t="s">
        <v>46</v>
      </c>
      <c r="C125" s="54" t="s">
        <v>949</v>
      </c>
    </row>
    <row r="126">
      <c r="A126" s="54" t="s">
        <v>257</v>
      </c>
      <c r="B126" s="54" t="s">
        <v>56</v>
      </c>
      <c r="C126" s="54" t="s">
        <v>967</v>
      </c>
    </row>
    <row r="127">
      <c r="A127" s="54" t="s">
        <v>258</v>
      </c>
      <c r="B127" s="54" t="s">
        <v>217</v>
      </c>
      <c r="C127" s="54" t="s">
        <v>990</v>
      </c>
    </row>
    <row r="128">
      <c r="A128" s="54" t="s">
        <v>260</v>
      </c>
      <c r="B128" s="54" t="s">
        <v>111</v>
      </c>
      <c r="C128" s="54" t="s">
        <v>963</v>
      </c>
    </row>
    <row r="129">
      <c r="A129" s="54" t="s">
        <v>261</v>
      </c>
      <c r="B129" s="54" t="s">
        <v>22</v>
      </c>
      <c r="C129" s="54" t="s">
        <v>988</v>
      </c>
    </row>
    <row r="130">
      <c r="A130" s="54" t="s">
        <v>262</v>
      </c>
      <c r="B130" s="54" t="s">
        <v>38</v>
      </c>
      <c r="C130" s="54" t="s">
        <v>950</v>
      </c>
    </row>
    <row r="131">
      <c r="A131" s="54" t="s">
        <v>263</v>
      </c>
      <c r="B131" s="54" t="s">
        <v>22</v>
      </c>
      <c r="C131" s="54" t="s">
        <v>970</v>
      </c>
    </row>
    <row r="132">
      <c r="A132" s="54" t="s">
        <v>264</v>
      </c>
      <c r="B132" s="54" t="s">
        <v>42</v>
      </c>
      <c r="C132" s="54" t="s">
        <v>991</v>
      </c>
    </row>
    <row r="133">
      <c r="A133" s="54" t="s">
        <v>265</v>
      </c>
      <c r="B133" s="54" t="s">
        <v>56</v>
      </c>
      <c r="C133" s="54" t="s">
        <v>975</v>
      </c>
    </row>
    <row r="134">
      <c r="A134" s="54" t="s">
        <v>266</v>
      </c>
      <c r="B134" s="54" t="s">
        <v>64</v>
      </c>
      <c r="C134" s="54" t="s">
        <v>962</v>
      </c>
    </row>
    <row r="135">
      <c r="A135" s="54" t="s">
        <v>268</v>
      </c>
      <c r="B135" s="54" t="s">
        <v>72</v>
      </c>
      <c r="C135" s="54" t="s">
        <v>979</v>
      </c>
    </row>
    <row r="136">
      <c r="A136" s="54" t="s">
        <v>270</v>
      </c>
      <c r="B136" s="54" t="s">
        <v>46</v>
      </c>
      <c r="C136" s="54" t="s">
        <v>968</v>
      </c>
    </row>
    <row r="137">
      <c r="A137" s="54" t="s">
        <v>272</v>
      </c>
      <c r="B137" s="54" t="s">
        <v>46</v>
      </c>
      <c r="C137" s="54" t="s">
        <v>948</v>
      </c>
    </row>
    <row r="138">
      <c r="A138" s="54" t="s">
        <v>274</v>
      </c>
      <c r="B138" s="54" t="s">
        <v>38</v>
      </c>
      <c r="C138" s="54" t="s">
        <v>987</v>
      </c>
    </row>
    <row r="139">
      <c r="A139" s="54" t="s">
        <v>275</v>
      </c>
      <c r="B139" s="54" t="s">
        <v>46</v>
      </c>
      <c r="C139" s="54" t="s">
        <v>949</v>
      </c>
    </row>
    <row r="140">
      <c r="A140" s="54" t="s">
        <v>278</v>
      </c>
      <c r="B140" s="54" t="s">
        <v>46</v>
      </c>
      <c r="C140" s="54" t="s">
        <v>985</v>
      </c>
    </row>
    <row r="141">
      <c r="A141" s="54" t="s">
        <v>992</v>
      </c>
      <c r="B141" s="54" t="s">
        <v>64</v>
      </c>
      <c r="C141" s="54" t="s">
        <v>980</v>
      </c>
    </row>
    <row r="142">
      <c r="A142" s="54" t="s">
        <v>281</v>
      </c>
      <c r="B142" s="54" t="s">
        <v>22</v>
      </c>
      <c r="C142" s="54" t="s">
        <v>953</v>
      </c>
    </row>
    <row r="143">
      <c r="A143" s="54" t="s">
        <v>283</v>
      </c>
      <c r="B143" s="54" t="s">
        <v>16</v>
      </c>
      <c r="C143" s="54" t="s">
        <v>29</v>
      </c>
    </row>
    <row r="144">
      <c r="A144" s="54" t="s">
        <v>285</v>
      </c>
      <c r="B144" s="54" t="s">
        <v>22</v>
      </c>
      <c r="C144" s="54" t="s">
        <v>952</v>
      </c>
    </row>
    <row r="145">
      <c r="A145" s="54" t="s">
        <v>287</v>
      </c>
      <c r="B145" s="54" t="s">
        <v>56</v>
      </c>
      <c r="C145" s="54" t="s">
        <v>967</v>
      </c>
    </row>
    <row r="146">
      <c r="A146" s="54" t="s">
        <v>288</v>
      </c>
      <c r="B146" s="54" t="s">
        <v>72</v>
      </c>
      <c r="C146" s="54" t="s">
        <v>974</v>
      </c>
    </row>
    <row r="147">
      <c r="A147" s="54" t="s">
        <v>290</v>
      </c>
      <c r="B147" s="54" t="s">
        <v>16</v>
      </c>
      <c r="C147" s="54" t="s">
        <v>17</v>
      </c>
    </row>
    <row r="148">
      <c r="A148" s="54" t="s">
        <v>292</v>
      </c>
      <c r="B148" s="54" t="s">
        <v>22</v>
      </c>
      <c r="C148" s="54" t="s">
        <v>976</v>
      </c>
    </row>
    <row r="149">
      <c r="A149" s="54" t="s">
        <v>993</v>
      </c>
      <c r="B149" s="54" t="s">
        <v>46</v>
      </c>
      <c r="C149" s="54" t="s">
        <v>958</v>
      </c>
    </row>
    <row r="150">
      <c r="A150" s="54" t="s">
        <v>294</v>
      </c>
      <c r="B150" s="54" t="s">
        <v>72</v>
      </c>
      <c r="C150" s="54" t="s">
        <v>979</v>
      </c>
    </row>
    <row r="151">
      <c r="A151" s="54" t="s">
        <v>295</v>
      </c>
      <c r="B151" s="54" t="s">
        <v>56</v>
      </c>
      <c r="C151" s="54" t="s">
        <v>967</v>
      </c>
    </row>
    <row r="152">
      <c r="A152" s="54" t="s">
        <v>297</v>
      </c>
      <c r="B152" s="54" t="s">
        <v>16</v>
      </c>
      <c r="C152" s="54" t="s">
        <v>966</v>
      </c>
    </row>
    <row r="153">
      <c r="A153" s="54" t="s">
        <v>299</v>
      </c>
      <c r="B153" s="54" t="s">
        <v>42</v>
      </c>
      <c r="C153" s="54" t="s">
        <v>947</v>
      </c>
    </row>
    <row r="154">
      <c r="A154" s="54" t="s">
        <v>300</v>
      </c>
      <c r="B154" s="54" t="s">
        <v>16</v>
      </c>
      <c r="C154" s="54" t="s">
        <v>994</v>
      </c>
    </row>
    <row r="155">
      <c r="A155" s="54" t="s">
        <v>302</v>
      </c>
      <c r="B155" s="54" t="s">
        <v>72</v>
      </c>
      <c r="C155" s="54" t="s">
        <v>974</v>
      </c>
    </row>
    <row r="156">
      <c r="A156" s="54" t="s">
        <v>303</v>
      </c>
      <c r="B156" s="54" t="s">
        <v>22</v>
      </c>
      <c r="C156" s="54" t="s">
        <v>953</v>
      </c>
    </row>
    <row r="157">
      <c r="A157" s="54" t="s">
        <v>304</v>
      </c>
      <c r="B157" s="54" t="s">
        <v>42</v>
      </c>
      <c r="C157" s="54" t="s">
        <v>947</v>
      </c>
    </row>
    <row r="158">
      <c r="A158" s="54" t="s">
        <v>307</v>
      </c>
      <c r="B158" s="54" t="s">
        <v>111</v>
      </c>
      <c r="C158" s="54" t="s">
        <v>963</v>
      </c>
    </row>
    <row r="159">
      <c r="A159" s="54" t="s">
        <v>309</v>
      </c>
      <c r="B159" s="54" t="s">
        <v>46</v>
      </c>
      <c r="C159" s="54" t="s">
        <v>949</v>
      </c>
    </row>
    <row r="160">
      <c r="A160" s="54" t="s">
        <v>311</v>
      </c>
      <c r="B160" s="54" t="s">
        <v>16</v>
      </c>
      <c r="C160" s="54" t="s">
        <v>966</v>
      </c>
    </row>
    <row r="161">
      <c r="A161" s="54" t="s">
        <v>312</v>
      </c>
      <c r="B161" s="54" t="s">
        <v>16</v>
      </c>
      <c r="C161" s="54" t="s">
        <v>994</v>
      </c>
    </row>
    <row r="162">
      <c r="A162" s="54" t="s">
        <v>314</v>
      </c>
      <c r="B162" s="54" t="s">
        <v>46</v>
      </c>
      <c r="C162" s="54" t="s">
        <v>985</v>
      </c>
    </row>
    <row r="163">
      <c r="A163" s="54" t="s">
        <v>316</v>
      </c>
      <c r="B163" s="54" t="s">
        <v>22</v>
      </c>
      <c r="C163" s="54" t="s">
        <v>952</v>
      </c>
    </row>
    <row r="164">
      <c r="A164" s="54" t="s">
        <v>318</v>
      </c>
      <c r="B164" s="54" t="s">
        <v>22</v>
      </c>
      <c r="C164" s="54" t="s">
        <v>970</v>
      </c>
    </row>
    <row r="165">
      <c r="A165" s="54" t="s">
        <v>320</v>
      </c>
      <c r="B165" s="54" t="s">
        <v>22</v>
      </c>
      <c r="C165" s="54" t="s">
        <v>952</v>
      </c>
    </row>
    <row r="166">
      <c r="A166" s="54" t="s">
        <v>322</v>
      </c>
      <c r="B166" s="54" t="s">
        <v>56</v>
      </c>
      <c r="C166" s="54" t="s">
        <v>967</v>
      </c>
    </row>
    <row r="167">
      <c r="A167" s="54" t="s">
        <v>324</v>
      </c>
      <c r="B167" s="54" t="s">
        <v>46</v>
      </c>
      <c r="C167" s="54" t="s">
        <v>949</v>
      </c>
    </row>
    <row r="168">
      <c r="A168" s="54" t="s">
        <v>326</v>
      </c>
      <c r="B168" s="54" t="s">
        <v>56</v>
      </c>
      <c r="C168" s="54" t="s">
        <v>967</v>
      </c>
    </row>
    <row r="169">
      <c r="A169" s="54" t="s">
        <v>327</v>
      </c>
      <c r="B169" s="54" t="s">
        <v>72</v>
      </c>
      <c r="C169" s="54" t="s">
        <v>995</v>
      </c>
    </row>
    <row r="170">
      <c r="A170" s="54" t="s">
        <v>329</v>
      </c>
      <c r="B170" s="54" t="s">
        <v>46</v>
      </c>
      <c r="C170" s="54" t="s">
        <v>949</v>
      </c>
    </row>
    <row r="171">
      <c r="A171" s="54" t="s">
        <v>330</v>
      </c>
      <c r="B171" s="54" t="s">
        <v>16</v>
      </c>
      <c r="C171" s="54" t="s">
        <v>946</v>
      </c>
    </row>
    <row r="172">
      <c r="A172" s="54" t="s">
        <v>332</v>
      </c>
      <c r="B172" s="54" t="s">
        <v>72</v>
      </c>
      <c r="C172" s="54" t="s">
        <v>995</v>
      </c>
    </row>
    <row r="173">
      <c r="A173" s="54" t="s">
        <v>996</v>
      </c>
      <c r="B173" s="54" t="s">
        <v>64</v>
      </c>
      <c r="C173" s="54" t="s">
        <v>989</v>
      </c>
    </row>
    <row r="174">
      <c r="A174" s="54" t="s">
        <v>334</v>
      </c>
      <c r="B174" s="54" t="s">
        <v>22</v>
      </c>
      <c r="C174" s="54" t="s">
        <v>988</v>
      </c>
    </row>
    <row r="175">
      <c r="A175" s="54" t="s">
        <v>335</v>
      </c>
      <c r="B175" s="54" t="s">
        <v>64</v>
      </c>
      <c r="C175" s="54" t="s">
        <v>989</v>
      </c>
    </row>
    <row r="176">
      <c r="A176" s="54" t="s">
        <v>337</v>
      </c>
      <c r="B176" s="54" t="s">
        <v>72</v>
      </c>
      <c r="C176" s="54" t="s">
        <v>974</v>
      </c>
    </row>
    <row r="177">
      <c r="A177" s="54" t="s">
        <v>338</v>
      </c>
      <c r="B177" s="54" t="s">
        <v>16</v>
      </c>
      <c r="C177" s="54" t="s">
        <v>994</v>
      </c>
    </row>
    <row r="178">
      <c r="A178" s="54" t="s">
        <v>340</v>
      </c>
      <c r="B178" s="54" t="s">
        <v>38</v>
      </c>
      <c r="C178" s="54" t="s">
        <v>959</v>
      </c>
    </row>
    <row r="179">
      <c r="A179" s="54" t="s">
        <v>342</v>
      </c>
      <c r="B179" s="54" t="s">
        <v>64</v>
      </c>
      <c r="C179" s="54" t="s">
        <v>954</v>
      </c>
    </row>
    <row r="180">
      <c r="A180" s="54" t="s">
        <v>344</v>
      </c>
      <c r="B180" s="54" t="s">
        <v>22</v>
      </c>
      <c r="C180" s="54" t="s">
        <v>955</v>
      </c>
    </row>
    <row r="181">
      <c r="A181" s="54" t="s">
        <v>345</v>
      </c>
      <c r="B181" s="54" t="s">
        <v>22</v>
      </c>
      <c r="C181" s="54" t="s">
        <v>956</v>
      </c>
    </row>
    <row r="182">
      <c r="A182" s="54" t="s">
        <v>346</v>
      </c>
      <c r="B182" s="54" t="s">
        <v>16</v>
      </c>
      <c r="C182" s="54" t="s">
        <v>946</v>
      </c>
    </row>
    <row r="183">
      <c r="A183" s="54" t="s">
        <v>347</v>
      </c>
      <c r="B183" s="54" t="s">
        <v>56</v>
      </c>
      <c r="C183" s="54" t="s">
        <v>975</v>
      </c>
    </row>
    <row r="184">
      <c r="A184" s="54" t="s">
        <v>997</v>
      </c>
      <c r="B184" s="54" t="s">
        <v>111</v>
      </c>
      <c r="C184" s="54" t="s">
        <v>963</v>
      </c>
    </row>
    <row r="185">
      <c r="A185" s="54" t="s">
        <v>350</v>
      </c>
      <c r="B185" s="54" t="s">
        <v>22</v>
      </c>
      <c r="C185" s="54" t="s">
        <v>952</v>
      </c>
    </row>
    <row r="186">
      <c r="A186" s="54" t="s">
        <v>351</v>
      </c>
      <c r="B186" s="54" t="s">
        <v>16</v>
      </c>
      <c r="C186" s="54" t="s">
        <v>994</v>
      </c>
    </row>
    <row r="187">
      <c r="A187" s="54" t="s">
        <v>353</v>
      </c>
      <c r="B187" s="54" t="s">
        <v>42</v>
      </c>
      <c r="C187" s="54" t="s">
        <v>965</v>
      </c>
    </row>
    <row r="188">
      <c r="A188" s="54" t="s">
        <v>355</v>
      </c>
      <c r="B188" s="54" t="s">
        <v>72</v>
      </c>
      <c r="C188" s="54" t="s">
        <v>974</v>
      </c>
    </row>
    <row r="189">
      <c r="A189" s="54" t="s">
        <v>357</v>
      </c>
      <c r="B189" s="54" t="s">
        <v>16</v>
      </c>
      <c r="C189" s="54" t="s">
        <v>17</v>
      </c>
    </row>
    <row r="190">
      <c r="A190" s="54" t="s">
        <v>359</v>
      </c>
      <c r="B190" s="54" t="s">
        <v>46</v>
      </c>
      <c r="C190" s="54" t="s">
        <v>949</v>
      </c>
    </row>
    <row r="191">
      <c r="A191" s="54" t="s">
        <v>360</v>
      </c>
      <c r="B191" s="54" t="s">
        <v>46</v>
      </c>
      <c r="C191" s="54" t="s">
        <v>949</v>
      </c>
    </row>
    <row r="192">
      <c r="A192" s="54" t="s">
        <v>361</v>
      </c>
      <c r="B192" s="54" t="s">
        <v>217</v>
      </c>
      <c r="C192" s="54" t="s">
        <v>990</v>
      </c>
    </row>
    <row r="193">
      <c r="A193" s="54" t="s">
        <v>362</v>
      </c>
      <c r="B193" s="54" t="s">
        <v>64</v>
      </c>
      <c r="C193" s="54" t="s">
        <v>962</v>
      </c>
    </row>
    <row r="194">
      <c r="A194" s="54" t="s">
        <v>998</v>
      </c>
      <c r="B194" s="54" t="s">
        <v>64</v>
      </c>
      <c r="C194" s="54" t="s">
        <v>962</v>
      </c>
    </row>
    <row r="195">
      <c r="A195" s="54" t="s">
        <v>366</v>
      </c>
      <c r="B195" s="54" t="s">
        <v>72</v>
      </c>
      <c r="C195" s="54" t="s">
        <v>957</v>
      </c>
    </row>
    <row r="196">
      <c r="A196" s="54" t="s">
        <v>368</v>
      </c>
      <c r="B196" s="54" t="s">
        <v>217</v>
      </c>
      <c r="C196" s="54" t="s">
        <v>999</v>
      </c>
    </row>
    <row r="197">
      <c r="A197" s="54" t="s">
        <v>370</v>
      </c>
      <c r="B197" s="54" t="s">
        <v>38</v>
      </c>
      <c r="C197" s="54" t="s">
        <v>1000</v>
      </c>
    </row>
    <row r="198">
      <c r="A198" s="54" t="s">
        <v>371</v>
      </c>
      <c r="B198" s="54" t="s">
        <v>22</v>
      </c>
      <c r="C198" s="54" t="s">
        <v>952</v>
      </c>
    </row>
    <row r="199">
      <c r="A199" s="54" t="s">
        <v>372</v>
      </c>
      <c r="B199" s="54" t="s">
        <v>46</v>
      </c>
      <c r="C199" s="54" t="s">
        <v>968</v>
      </c>
    </row>
    <row r="200">
      <c r="A200" s="54" t="s">
        <v>374</v>
      </c>
      <c r="B200" s="54" t="s">
        <v>22</v>
      </c>
      <c r="C200" s="54" t="s">
        <v>960</v>
      </c>
    </row>
    <row r="201">
      <c r="A201" s="54" t="s">
        <v>376</v>
      </c>
      <c r="B201" s="54" t="s">
        <v>16</v>
      </c>
      <c r="C201" s="54" t="s">
        <v>972</v>
      </c>
    </row>
    <row r="202">
      <c r="A202" s="54" t="s">
        <v>377</v>
      </c>
      <c r="B202" s="54" t="s">
        <v>46</v>
      </c>
      <c r="C202" s="54" t="s">
        <v>958</v>
      </c>
    </row>
    <row r="203">
      <c r="A203" s="54" t="s">
        <v>379</v>
      </c>
      <c r="B203" s="54" t="s">
        <v>56</v>
      </c>
      <c r="C203" s="54" t="s">
        <v>1001</v>
      </c>
    </row>
    <row r="204">
      <c r="A204" s="54" t="s">
        <v>381</v>
      </c>
      <c r="B204" s="54" t="s">
        <v>56</v>
      </c>
      <c r="C204" s="54" t="s">
        <v>967</v>
      </c>
    </row>
    <row r="205">
      <c r="A205" s="54" t="s">
        <v>383</v>
      </c>
      <c r="B205" s="54" t="s">
        <v>16</v>
      </c>
      <c r="C205" s="54" t="s">
        <v>946</v>
      </c>
    </row>
    <row r="206">
      <c r="A206" s="54" t="s">
        <v>384</v>
      </c>
      <c r="B206" s="54" t="s">
        <v>46</v>
      </c>
      <c r="C206" s="54" t="s">
        <v>985</v>
      </c>
    </row>
    <row r="207">
      <c r="A207" s="54" t="s">
        <v>386</v>
      </c>
      <c r="B207" s="54" t="s">
        <v>56</v>
      </c>
      <c r="C207" s="54" t="s">
        <v>975</v>
      </c>
    </row>
    <row r="208">
      <c r="A208" s="54" t="s">
        <v>387</v>
      </c>
      <c r="B208" s="54" t="s">
        <v>56</v>
      </c>
      <c r="C208" s="54" t="s">
        <v>978</v>
      </c>
    </row>
    <row r="209">
      <c r="A209" s="54" t="s">
        <v>388</v>
      </c>
      <c r="B209" s="54" t="s">
        <v>72</v>
      </c>
      <c r="C209" s="54" t="s">
        <v>979</v>
      </c>
    </row>
    <row r="210">
      <c r="A210" s="54" t="s">
        <v>390</v>
      </c>
      <c r="B210" s="54" t="s">
        <v>16</v>
      </c>
      <c r="C210" s="54" t="s">
        <v>994</v>
      </c>
    </row>
    <row r="211">
      <c r="A211" s="54" t="s">
        <v>392</v>
      </c>
      <c r="B211" s="54" t="s">
        <v>46</v>
      </c>
      <c r="C211" s="54" t="s">
        <v>949</v>
      </c>
    </row>
    <row r="212">
      <c r="A212" s="54" t="s">
        <v>393</v>
      </c>
      <c r="B212" s="54" t="s">
        <v>56</v>
      </c>
      <c r="C212" s="54" t="s">
        <v>978</v>
      </c>
    </row>
    <row r="213">
      <c r="A213" s="54" t="s">
        <v>395</v>
      </c>
      <c r="B213" s="54" t="s">
        <v>16</v>
      </c>
      <c r="C213" s="54" t="s">
        <v>1002</v>
      </c>
    </row>
    <row r="214">
      <c r="A214" s="54" t="s">
        <v>396</v>
      </c>
      <c r="B214" s="54" t="s">
        <v>16</v>
      </c>
      <c r="C214" s="54" t="s">
        <v>966</v>
      </c>
    </row>
    <row r="215">
      <c r="A215" s="54" t="s">
        <v>397</v>
      </c>
      <c r="B215" s="54" t="s">
        <v>16</v>
      </c>
      <c r="C215" s="54" t="s">
        <v>29</v>
      </c>
    </row>
    <row r="216">
      <c r="A216" s="54" t="s">
        <v>398</v>
      </c>
      <c r="B216" s="54" t="s">
        <v>22</v>
      </c>
      <c r="C216" s="54" t="s">
        <v>952</v>
      </c>
    </row>
    <row r="217">
      <c r="A217" s="54" t="s">
        <v>400</v>
      </c>
      <c r="B217" s="54" t="s">
        <v>46</v>
      </c>
      <c r="C217" s="54" t="s">
        <v>985</v>
      </c>
    </row>
    <row r="218">
      <c r="A218" s="54" t="s">
        <v>402</v>
      </c>
      <c r="B218" s="54" t="s">
        <v>16</v>
      </c>
      <c r="C218" s="54" t="s">
        <v>29</v>
      </c>
    </row>
    <row r="219">
      <c r="A219" s="54" t="s">
        <v>404</v>
      </c>
      <c r="B219" s="54" t="s">
        <v>16</v>
      </c>
      <c r="C219" s="54" t="s">
        <v>29</v>
      </c>
    </row>
    <row r="220">
      <c r="A220" s="54" t="s">
        <v>406</v>
      </c>
      <c r="B220" s="54" t="s">
        <v>16</v>
      </c>
      <c r="C220" s="54" t="s">
        <v>946</v>
      </c>
    </row>
    <row r="221">
      <c r="A221" s="54" t="s">
        <v>408</v>
      </c>
      <c r="B221" s="54" t="s">
        <v>16</v>
      </c>
      <c r="C221" s="54" t="s">
        <v>994</v>
      </c>
    </row>
    <row r="222">
      <c r="A222" s="54" t="s">
        <v>409</v>
      </c>
      <c r="B222" s="54" t="s">
        <v>16</v>
      </c>
      <c r="C222" s="54" t="s">
        <v>29</v>
      </c>
    </row>
    <row r="223">
      <c r="A223" s="54" t="s">
        <v>410</v>
      </c>
      <c r="B223" s="54" t="s">
        <v>46</v>
      </c>
      <c r="C223" s="54" t="s">
        <v>949</v>
      </c>
    </row>
    <row r="224">
      <c r="A224" s="54" t="s">
        <v>412</v>
      </c>
      <c r="B224" s="54" t="s">
        <v>64</v>
      </c>
      <c r="C224" s="54" t="s">
        <v>1003</v>
      </c>
    </row>
    <row r="225">
      <c r="A225" s="54" t="s">
        <v>414</v>
      </c>
      <c r="B225" s="54" t="s">
        <v>217</v>
      </c>
      <c r="C225" s="54" t="s">
        <v>999</v>
      </c>
    </row>
    <row r="226">
      <c r="A226" s="54" t="s">
        <v>415</v>
      </c>
      <c r="B226" s="54" t="s">
        <v>38</v>
      </c>
      <c r="C226" s="54" t="s">
        <v>959</v>
      </c>
    </row>
    <row r="227">
      <c r="A227" s="54" t="s">
        <v>416</v>
      </c>
      <c r="B227" s="54" t="s">
        <v>22</v>
      </c>
      <c r="C227" s="54" t="s">
        <v>952</v>
      </c>
    </row>
    <row r="228">
      <c r="A228" s="54" t="s">
        <v>417</v>
      </c>
      <c r="B228" s="54" t="s">
        <v>16</v>
      </c>
      <c r="C228" s="54" t="s">
        <v>994</v>
      </c>
    </row>
    <row r="229">
      <c r="A229" s="54" t="s">
        <v>418</v>
      </c>
      <c r="B229" s="54" t="s">
        <v>22</v>
      </c>
      <c r="C229" s="54" t="s">
        <v>952</v>
      </c>
    </row>
    <row r="230">
      <c r="A230" s="54" t="s">
        <v>419</v>
      </c>
      <c r="B230" s="54" t="s">
        <v>56</v>
      </c>
      <c r="C230" s="54" t="s">
        <v>975</v>
      </c>
    </row>
    <row r="231">
      <c r="A231" s="54" t="s">
        <v>420</v>
      </c>
      <c r="B231" s="54" t="s">
        <v>56</v>
      </c>
      <c r="C231" s="54" t="s">
        <v>978</v>
      </c>
    </row>
    <row r="232">
      <c r="A232" s="54" t="s">
        <v>421</v>
      </c>
      <c r="B232" s="54" t="s">
        <v>46</v>
      </c>
      <c r="C232" s="54" t="s">
        <v>968</v>
      </c>
    </row>
    <row r="233">
      <c r="A233" s="54" t="s">
        <v>422</v>
      </c>
      <c r="B233" s="54" t="s">
        <v>22</v>
      </c>
      <c r="C233" s="54" t="s">
        <v>952</v>
      </c>
    </row>
    <row r="234">
      <c r="A234" s="54" t="s">
        <v>423</v>
      </c>
      <c r="B234" s="54" t="s">
        <v>56</v>
      </c>
      <c r="C234" s="54" t="s">
        <v>967</v>
      </c>
    </row>
    <row r="235">
      <c r="A235" s="54" t="s">
        <v>425</v>
      </c>
      <c r="B235" s="54" t="s">
        <v>38</v>
      </c>
      <c r="C235" s="54" t="s">
        <v>950</v>
      </c>
    </row>
    <row r="236">
      <c r="A236" s="54" t="s">
        <v>426</v>
      </c>
      <c r="B236" s="54" t="s">
        <v>64</v>
      </c>
      <c r="C236" s="54" t="s">
        <v>954</v>
      </c>
    </row>
    <row r="237">
      <c r="A237" s="54" t="s">
        <v>428</v>
      </c>
      <c r="B237" s="54" t="s">
        <v>46</v>
      </c>
      <c r="C237" s="54" t="s">
        <v>949</v>
      </c>
    </row>
    <row r="238">
      <c r="A238" s="54" t="s">
        <v>430</v>
      </c>
      <c r="B238" s="54" t="s">
        <v>46</v>
      </c>
      <c r="C238" s="54" t="s">
        <v>968</v>
      </c>
    </row>
    <row r="239">
      <c r="A239" s="54" t="s">
        <v>431</v>
      </c>
      <c r="B239" s="54" t="s">
        <v>56</v>
      </c>
      <c r="C239" s="54" t="s">
        <v>967</v>
      </c>
    </row>
    <row r="240">
      <c r="A240" s="54" t="s">
        <v>432</v>
      </c>
      <c r="B240" s="54" t="s">
        <v>22</v>
      </c>
      <c r="C240" s="54" t="s">
        <v>956</v>
      </c>
    </row>
    <row r="241">
      <c r="A241" s="54" t="s">
        <v>434</v>
      </c>
      <c r="B241" s="54" t="s">
        <v>46</v>
      </c>
      <c r="C241" s="54" t="s">
        <v>949</v>
      </c>
    </row>
    <row r="242">
      <c r="A242" s="54" t="s">
        <v>436</v>
      </c>
      <c r="B242" s="54" t="s">
        <v>42</v>
      </c>
      <c r="C242" s="54" t="s">
        <v>964</v>
      </c>
    </row>
    <row r="243">
      <c r="A243" s="54" t="s">
        <v>438</v>
      </c>
      <c r="B243" s="54" t="s">
        <v>46</v>
      </c>
      <c r="C243" s="54" t="s">
        <v>958</v>
      </c>
    </row>
    <row r="244">
      <c r="A244" s="54" t="s">
        <v>440</v>
      </c>
      <c r="B244" s="54" t="s">
        <v>46</v>
      </c>
      <c r="C244" s="54" t="s">
        <v>985</v>
      </c>
    </row>
    <row r="245">
      <c r="A245" s="54" t="s">
        <v>441</v>
      </c>
      <c r="B245" s="54" t="s">
        <v>22</v>
      </c>
      <c r="C245" s="54" t="s">
        <v>952</v>
      </c>
    </row>
    <row r="246">
      <c r="A246" s="54" t="s">
        <v>442</v>
      </c>
      <c r="B246" s="54" t="s">
        <v>22</v>
      </c>
      <c r="C246" s="54" t="s">
        <v>955</v>
      </c>
    </row>
    <row r="247">
      <c r="A247" s="54" t="s">
        <v>444</v>
      </c>
      <c r="B247" s="54" t="s">
        <v>42</v>
      </c>
      <c r="C247" s="54" t="s">
        <v>964</v>
      </c>
    </row>
    <row r="248">
      <c r="A248" s="54" t="s">
        <v>445</v>
      </c>
      <c r="B248" s="54" t="s">
        <v>22</v>
      </c>
      <c r="C248" s="54" t="s">
        <v>953</v>
      </c>
    </row>
    <row r="249">
      <c r="A249" s="54" t="s">
        <v>447</v>
      </c>
      <c r="B249" s="54" t="s">
        <v>16</v>
      </c>
      <c r="C249" s="54" t="s">
        <v>966</v>
      </c>
    </row>
    <row r="250">
      <c r="A250" s="54" t="s">
        <v>448</v>
      </c>
      <c r="B250" s="54" t="s">
        <v>46</v>
      </c>
      <c r="C250" s="54" t="s">
        <v>949</v>
      </c>
    </row>
    <row r="251">
      <c r="A251" s="54" t="s">
        <v>451</v>
      </c>
      <c r="B251" s="54" t="s">
        <v>42</v>
      </c>
      <c r="C251" s="54" t="s">
        <v>991</v>
      </c>
    </row>
    <row r="252">
      <c r="A252" s="54" t="s">
        <v>452</v>
      </c>
      <c r="B252" s="54" t="s">
        <v>22</v>
      </c>
      <c r="C252" s="54" t="s">
        <v>952</v>
      </c>
    </row>
    <row r="253">
      <c r="A253" s="54" t="s">
        <v>453</v>
      </c>
      <c r="B253" s="54" t="s">
        <v>46</v>
      </c>
      <c r="C253" s="54" t="s">
        <v>949</v>
      </c>
    </row>
    <row r="254">
      <c r="A254" s="54" t="s">
        <v>454</v>
      </c>
      <c r="B254" s="54" t="s">
        <v>38</v>
      </c>
      <c r="C254" s="54" t="s">
        <v>959</v>
      </c>
    </row>
    <row r="255">
      <c r="A255" s="54" t="s">
        <v>455</v>
      </c>
      <c r="B255" s="54" t="s">
        <v>38</v>
      </c>
      <c r="C255" s="54" t="s">
        <v>950</v>
      </c>
    </row>
    <row r="256">
      <c r="A256" s="54" t="s">
        <v>457</v>
      </c>
      <c r="B256" s="54" t="s">
        <v>38</v>
      </c>
      <c r="C256" s="54" t="s">
        <v>950</v>
      </c>
    </row>
    <row r="257">
      <c r="A257" s="54" t="s">
        <v>458</v>
      </c>
      <c r="B257" s="54" t="s">
        <v>56</v>
      </c>
      <c r="C257" s="54" t="s">
        <v>978</v>
      </c>
    </row>
    <row r="258">
      <c r="A258" s="54" t="s">
        <v>460</v>
      </c>
      <c r="B258" s="54" t="s">
        <v>22</v>
      </c>
      <c r="C258" s="54" t="s">
        <v>952</v>
      </c>
    </row>
    <row r="259">
      <c r="A259" s="54" t="s">
        <v>461</v>
      </c>
      <c r="B259" s="54" t="s">
        <v>16</v>
      </c>
      <c r="C259" s="54" t="s">
        <v>17</v>
      </c>
    </row>
    <row r="260">
      <c r="A260" s="54" t="s">
        <v>462</v>
      </c>
      <c r="B260" s="54" t="s">
        <v>46</v>
      </c>
      <c r="C260" s="54" t="s">
        <v>949</v>
      </c>
    </row>
    <row r="261">
      <c r="A261" s="54" t="s">
        <v>463</v>
      </c>
      <c r="B261" s="54" t="s">
        <v>64</v>
      </c>
      <c r="C261" s="54" t="s">
        <v>989</v>
      </c>
    </row>
    <row r="262">
      <c r="A262" s="54" t="s">
        <v>464</v>
      </c>
      <c r="B262" s="54" t="s">
        <v>16</v>
      </c>
      <c r="C262" s="54" t="s">
        <v>29</v>
      </c>
    </row>
    <row r="263">
      <c r="A263" s="54" t="s">
        <v>467</v>
      </c>
      <c r="B263" s="54" t="s">
        <v>46</v>
      </c>
      <c r="C263" s="54" t="s">
        <v>985</v>
      </c>
    </row>
    <row r="264">
      <c r="A264" s="54" t="s">
        <v>468</v>
      </c>
      <c r="B264" s="54" t="s">
        <v>111</v>
      </c>
      <c r="C264" s="54" t="s">
        <v>963</v>
      </c>
    </row>
    <row r="265">
      <c r="A265" s="54" t="s">
        <v>470</v>
      </c>
      <c r="B265" s="54" t="s">
        <v>16</v>
      </c>
      <c r="C265" s="54" t="s">
        <v>29</v>
      </c>
    </row>
    <row r="266">
      <c r="A266" s="54" t="s">
        <v>472</v>
      </c>
      <c r="B266" s="54" t="s">
        <v>22</v>
      </c>
      <c r="C266" s="54" t="s">
        <v>955</v>
      </c>
    </row>
    <row r="267">
      <c r="A267" s="54" t="s">
        <v>474</v>
      </c>
      <c r="B267" s="54" t="s">
        <v>16</v>
      </c>
      <c r="C267" s="54" t="s">
        <v>17</v>
      </c>
    </row>
    <row r="268">
      <c r="A268" s="54" t="s">
        <v>476</v>
      </c>
      <c r="B268" s="54" t="s">
        <v>220</v>
      </c>
      <c r="C268" s="54" t="s">
        <v>1004</v>
      </c>
    </row>
    <row r="269">
      <c r="A269" s="54" t="s">
        <v>478</v>
      </c>
      <c r="B269" s="54" t="s">
        <v>38</v>
      </c>
      <c r="C269" s="54" t="s">
        <v>950</v>
      </c>
    </row>
    <row r="270">
      <c r="A270" s="54" t="s">
        <v>479</v>
      </c>
      <c r="B270" s="54" t="s">
        <v>16</v>
      </c>
      <c r="C270" s="54" t="s">
        <v>29</v>
      </c>
    </row>
    <row r="271">
      <c r="A271" s="54" t="s">
        <v>480</v>
      </c>
      <c r="B271" s="54" t="s">
        <v>16</v>
      </c>
      <c r="C271" s="54" t="s">
        <v>29</v>
      </c>
    </row>
    <row r="272">
      <c r="A272" s="54" t="s">
        <v>482</v>
      </c>
      <c r="B272" s="54" t="s">
        <v>56</v>
      </c>
      <c r="C272" s="54" t="s">
        <v>967</v>
      </c>
    </row>
    <row r="273">
      <c r="A273" s="54" t="s">
        <v>484</v>
      </c>
      <c r="B273" s="54" t="s">
        <v>56</v>
      </c>
      <c r="C273" s="54" t="s">
        <v>1005</v>
      </c>
    </row>
    <row r="274">
      <c r="A274" s="54" t="s">
        <v>485</v>
      </c>
      <c r="B274" s="54" t="s">
        <v>46</v>
      </c>
      <c r="C274" s="54" t="s">
        <v>968</v>
      </c>
    </row>
    <row r="275">
      <c r="A275" s="54" t="s">
        <v>487</v>
      </c>
      <c r="B275" s="54" t="s">
        <v>72</v>
      </c>
      <c r="C275" s="54" t="s">
        <v>979</v>
      </c>
    </row>
    <row r="276">
      <c r="A276" s="54" t="s">
        <v>489</v>
      </c>
      <c r="B276" s="54" t="s">
        <v>16</v>
      </c>
      <c r="C276" s="54" t="s">
        <v>946</v>
      </c>
    </row>
    <row r="277">
      <c r="A277" s="54" t="s">
        <v>491</v>
      </c>
      <c r="B277" s="54" t="s">
        <v>111</v>
      </c>
      <c r="C277" s="54" t="s">
        <v>963</v>
      </c>
    </row>
    <row r="278">
      <c r="A278" s="54" t="s">
        <v>493</v>
      </c>
      <c r="B278" s="54" t="s">
        <v>46</v>
      </c>
      <c r="C278" s="54" t="s">
        <v>968</v>
      </c>
    </row>
    <row r="279">
      <c r="A279" s="54" t="s">
        <v>495</v>
      </c>
      <c r="B279" s="54" t="s">
        <v>38</v>
      </c>
      <c r="C279" s="54" t="s">
        <v>959</v>
      </c>
    </row>
    <row r="280">
      <c r="A280" s="54" t="s">
        <v>496</v>
      </c>
      <c r="B280" s="54" t="s">
        <v>56</v>
      </c>
      <c r="C280" s="54" t="s">
        <v>1001</v>
      </c>
    </row>
    <row r="281">
      <c r="A281" s="54" t="s">
        <v>497</v>
      </c>
      <c r="B281" s="54" t="s">
        <v>46</v>
      </c>
      <c r="C281" s="54" t="s">
        <v>949</v>
      </c>
    </row>
    <row r="282">
      <c r="A282" s="54" t="s">
        <v>498</v>
      </c>
      <c r="B282" s="54" t="s">
        <v>46</v>
      </c>
      <c r="C282" s="54" t="s">
        <v>949</v>
      </c>
    </row>
    <row r="283">
      <c r="A283" s="54" t="s">
        <v>499</v>
      </c>
      <c r="B283" s="54" t="s">
        <v>42</v>
      </c>
      <c r="C283" s="54" t="s">
        <v>965</v>
      </c>
    </row>
    <row r="284">
      <c r="A284" s="54" t="s">
        <v>500</v>
      </c>
      <c r="B284" s="54" t="s">
        <v>16</v>
      </c>
      <c r="C284" s="54" t="s">
        <v>972</v>
      </c>
    </row>
    <row r="285">
      <c r="A285" s="54" t="s">
        <v>1006</v>
      </c>
      <c r="B285" s="54" t="s">
        <v>111</v>
      </c>
      <c r="C285" s="54" t="s">
        <v>963</v>
      </c>
    </row>
    <row r="286">
      <c r="A286" s="54" t="s">
        <v>503</v>
      </c>
      <c r="B286" s="54" t="s">
        <v>22</v>
      </c>
      <c r="C286" s="54" t="s">
        <v>952</v>
      </c>
    </row>
    <row r="287">
      <c r="A287" s="54" t="s">
        <v>505</v>
      </c>
      <c r="B287" s="54" t="s">
        <v>42</v>
      </c>
      <c r="C287" s="54" t="s">
        <v>947</v>
      </c>
    </row>
    <row r="288">
      <c r="A288" s="54" t="s">
        <v>507</v>
      </c>
      <c r="B288" s="54" t="s">
        <v>38</v>
      </c>
      <c r="C288" s="54" t="s">
        <v>1000</v>
      </c>
    </row>
    <row r="289">
      <c r="A289" s="54" t="s">
        <v>508</v>
      </c>
      <c r="B289" s="54" t="s">
        <v>46</v>
      </c>
      <c r="C289" s="54" t="s">
        <v>958</v>
      </c>
    </row>
    <row r="290">
      <c r="A290" s="54" t="s">
        <v>509</v>
      </c>
      <c r="B290" s="54" t="s">
        <v>38</v>
      </c>
      <c r="C290" s="54" t="s">
        <v>950</v>
      </c>
    </row>
    <row r="291">
      <c r="A291" s="54" t="s">
        <v>511</v>
      </c>
      <c r="B291" s="54" t="s">
        <v>111</v>
      </c>
      <c r="C291" s="54" t="s">
        <v>963</v>
      </c>
    </row>
    <row r="292">
      <c r="A292" s="54" t="s">
        <v>512</v>
      </c>
      <c r="B292" s="54" t="s">
        <v>111</v>
      </c>
      <c r="C292" s="54" t="s">
        <v>963</v>
      </c>
    </row>
    <row r="293">
      <c r="A293" s="54" t="s">
        <v>513</v>
      </c>
      <c r="B293" s="54" t="s">
        <v>46</v>
      </c>
      <c r="C293" s="54" t="s">
        <v>958</v>
      </c>
    </row>
    <row r="294">
      <c r="A294" s="54" t="s">
        <v>515</v>
      </c>
      <c r="B294" s="54" t="s">
        <v>64</v>
      </c>
      <c r="C294" s="54" t="s">
        <v>989</v>
      </c>
    </row>
    <row r="295">
      <c r="A295" s="54" t="s">
        <v>517</v>
      </c>
      <c r="B295" s="54" t="s">
        <v>42</v>
      </c>
      <c r="C295" s="54" t="s">
        <v>964</v>
      </c>
    </row>
    <row r="296">
      <c r="A296" s="54" t="s">
        <v>519</v>
      </c>
      <c r="B296" s="54" t="s">
        <v>22</v>
      </c>
      <c r="C296" s="54" t="s">
        <v>988</v>
      </c>
    </row>
    <row r="297">
      <c r="A297" s="54" t="s">
        <v>520</v>
      </c>
      <c r="B297" s="54" t="s">
        <v>22</v>
      </c>
      <c r="C297" s="54" t="s">
        <v>952</v>
      </c>
    </row>
    <row r="298">
      <c r="A298" s="54" t="s">
        <v>522</v>
      </c>
      <c r="B298" s="54" t="s">
        <v>22</v>
      </c>
      <c r="C298" s="54" t="s">
        <v>952</v>
      </c>
    </row>
    <row r="299">
      <c r="A299" s="54" t="s">
        <v>523</v>
      </c>
      <c r="B299" s="54" t="s">
        <v>42</v>
      </c>
      <c r="C299" s="54" t="s">
        <v>947</v>
      </c>
    </row>
    <row r="300">
      <c r="A300" s="54" t="s">
        <v>524</v>
      </c>
      <c r="B300" s="54" t="s">
        <v>38</v>
      </c>
      <c r="C300" s="54" t="s">
        <v>959</v>
      </c>
    </row>
    <row r="301">
      <c r="A301" s="54" t="s">
        <v>525</v>
      </c>
      <c r="B301" s="54" t="s">
        <v>72</v>
      </c>
      <c r="C301" s="54" t="s">
        <v>979</v>
      </c>
    </row>
    <row r="302">
      <c r="A302" s="54" t="s">
        <v>527</v>
      </c>
      <c r="B302" s="54" t="s">
        <v>22</v>
      </c>
      <c r="C302" s="54" t="s">
        <v>988</v>
      </c>
    </row>
    <row r="303">
      <c r="A303" s="54" t="s">
        <v>528</v>
      </c>
      <c r="B303" s="54" t="s">
        <v>56</v>
      </c>
      <c r="C303" s="54" t="s">
        <v>967</v>
      </c>
    </row>
    <row r="304">
      <c r="A304" s="54" t="s">
        <v>530</v>
      </c>
      <c r="B304" s="54" t="s">
        <v>22</v>
      </c>
      <c r="C304" s="54" t="s">
        <v>988</v>
      </c>
    </row>
    <row r="305">
      <c r="A305" s="54" t="s">
        <v>531</v>
      </c>
      <c r="B305" s="54" t="s">
        <v>111</v>
      </c>
      <c r="C305" s="54" t="s">
        <v>963</v>
      </c>
    </row>
    <row r="306">
      <c r="A306" s="54" t="s">
        <v>532</v>
      </c>
      <c r="B306" s="54" t="s">
        <v>56</v>
      </c>
      <c r="C306" s="54" t="s">
        <v>1001</v>
      </c>
    </row>
    <row r="307">
      <c r="A307" s="54" t="s">
        <v>533</v>
      </c>
      <c r="B307" s="54" t="s">
        <v>111</v>
      </c>
      <c r="C307" s="54" t="s">
        <v>963</v>
      </c>
    </row>
    <row r="308">
      <c r="A308" s="54" t="s">
        <v>534</v>
      </c>
      <c r="B308" s="54" t="s">
        <v>64</v>
      </c>
      <c r="C308" s="54" t="s">
        <v>954</v>
      </c>
    </row>
    <row r="309">
      <c r="A309" s="54" t="s">
        <v>535</v>
      </c>
      <c r="B309" s="54" t="s">
        <v>46</v>
      </c>
      <c r="C309" s="54" t="s">
        <v>968</v>
      </c>
    </row>
    <row r="310">
      <c r="A310" s="54" t="s">
        <v>536</v>
      </c>
      <c r="B310" s="54" t="s">
        <v>46</v>
      </c>
      <c r="C310" s="54" t="s">
        <v>958</v>
      </c>
    </row>
    <row r="311">
      <c r="A311" s="54" t="s">
        <v>537</v>
      </c>
      <c r="B311" s="54" t="s">
        <v>56</v>
      </c>
      <c r="C311" s="54" t="s">
        <v>967</v>
      </c>
    </row>
    <row r="312">
      <c r="A312" s="54" t="s">
        <v>538</v>
      </c>
      <c r="B312" s="54" t="s">
        <v>46</v>
      </c>
      <c r="C312" s="54" t="s">
        <v>949</v>
      </c>
    </row>
    <row r="313">
      <c r="A313" s="54" t="s">
        <v>541</v>
      </c>
      <c r="B313" s="54" t="s">
        <v>46</v>
      </c>
      <c r="C313" s="54" t="s">
        <v>949</v>
      </c>
    </row>
    <row r="314">
      <c r="A314" s="54" t="s">
        <v>543</v>
      </c>
      <c r="B314" s="54" t="s">
        <v>22</v>
      </c>
      <c r="C314" s="54" t="s">
        <v>960</v>
      </c>
    </row>
    <row r="315">
      <c r="A315" s="54" t="s">
        <v>545</v>
      </c>
      <c r="B315" s="54" t="s">
        <v>22</v>
      </c>
      <c r="C315" s="54" t="s">
        <v>971</v>
      </c>
    </row>
    <row r="316">
      <c r="A316" s="54" t="s">
        <v>546</v>
      </c>
      <c r="B316" s="54" t="s">
        <v>64</v>
      </c>
      <c r="C316" s="54" t="s">
        <v>1007</v>
      </c>
    </row>
    <row r="317">
      <c r="A317" s="54" t="s">
        <v>547</v>
      </c>
      <c r="B317" s="54" t="s">
        <v>22</v>
      </c>
      <c r="C317" s="54" t="s">
        <v>952</v>
      </c>
    </row>
    <row r="318">
      <c r="A318" s="54" t="s">
        <v>549</v>
      </c>
      <c r="B318" s="54" t="s">
        <v>56</v>
      </c>
      <c r="C318" s="54" t="s">
        <v>975</v>
      </c>
    </row>
    <row r="319">
      <c r="A319" s="54" t="s">
        <v>550</v>
      </c>
      <c r="B319" s="54" t="s">
        <v>16</v>
      </c>
      <c r="C319" s="54" t="s">
        <v>977</v>
      </c>
    </row>
    <row r="320">
      <c r="A320" s="54" t="s">
        <v>552</v>
      </c>
      <c r="B320" s="54" t="s">
        <v>42</v>
      </c>
      <c r="C320" s="54" t="s">
        <v>991</v>
      </c>
    </row>
    <row r="321">
      <c r="A321" s="54" t="s">
        <v>1008</v>
      </c>
      <c r="B321" s="54" t="s">
        <v>16</v>
      </c>
      <c r="C321" s="54" t="s">
        <v>946</v>
      </c>
    </row>
    <row r="322">
      <c r="A322" s="54" t="s">
        <v>556</v>
      </c>
      <c r="B322" s="54" t="s">
        <v>56</v>
      </c>
      <c r="C322" s="54" t="s">
        <v>967</v>
      </c>
    </row>
    <row r="323">
      <c r="A323" s="54" t="s">
        <v>557</v>
      </c>
      <c r="B323" s="54" t="s">
        <v>46</v>
      </c>
      <c r="C323" s="54" t="s">
        <v>958</v>
      </c>
    </row>
    <row r="324">
      <c r="A324" s="54" t="s">
        <v>559</v>
      </c>
      <c r="B324" s="54" t="s">
        <v>38</v>
      </c>
      <c r="C324" s="54" t="s">
        <v>950</v>
      </c>
    </row>
    <row r="325">
      <c r="A325" s="54" t="s">
        <v>560</v>
      </c>
      <c r="B325" s="54" t="s">
        <v>16</v>
      </c>
      <c r="C325" s="54" t="s">
        <v>966</v>
      </c>
    </row>
    <row r="326">
      <c r="A326" s="54" t="s">
        <v>561</v>
      </c>
      <c r="B326" s="54" t="s">
        <v>56</v>
      </c>
      <c r="C326" s="54" t="s">
        <v>967</v>
      </c>
    </row>
    <row r="327">
      <c r="A327" s="54" t="s">
        <v>562</v>
      </c>
      <c r="B327" s="54" t="s">
        <v>46</v>
      </c>
      <c r="C327" s="54" t="s">
        <v>968</v>
      </c>
    </row>
    <row r="328">
      <c r="A328" s="54" t="s">
        <v>563</v>
      </c>
      <c r="B328" s="54" t="s">
        <v>22</v>
      </c>
      <c r="C328" s="54" t="s">
        <v>952</v>
      </c>
    </row>
    <row r="329">
      <c r="A329" s="54" t="s">
        <v>564</v>
      </c>
      <c r="B329" s="54" t="s">
        <v>22</v>
      </c>
      <c r="C329" s="54" t="s">
        <v>952</v>
      </c>
    </row>
    <row r="330">
      <c r="A330" s="54" t="s">
        <v>566</v>
      </c>
      <c r="B330" s="54" t="s">
        <v>46</v>
      </c>
      <c r="C330" s="54" t="s">
        <v>949</v>
      </c>
    </row>
    <row r="331">
      <c r="A331" s="54" t="s">
        <v>568</v>
      </c>
      <c r="B331" s="54" t="s">
        <v>16</v>
      </c>
      <c r="C331" s="54" t="s">
        <v>994</v>
      </c>
    </row>
    <row r="332">
      <c r="A332" s="54" t="s">
        <v>570</v>
      </c>
      <c r="B332" s="54" t="s">
        <v>72</v>
      </c>
      <c r="C332" s="54" t="s">
        <v>995</v>
      </c>
    </row>
    <row r="333">
      <c r="A333" s="54" t="s">
        <v>571</v>
      </c>
      <c r="B333" s="54" t="s">
        <v>22</v>
      </c>
      <c r="C333" s="54" t="s">
        <v>952</v>
      </c>
    </row>
    <row r="334">
      <c r="A334" s="54" t="s">
        <v>573</v>
      </c>
      <c r="B334" s="54" t="s">
        <v>46</v>
      </c>
      <c r="C334" s="54" t="s">
        <v>949</v>
      </c>
    </row>
    <row r="335">
      <c r="A335" s="54" t="s">
        <v>575</v>
      </c>
      <c r="B335" s="54" t="s">
        <v>22</v>
      </c>
      <c r="C335" s="54" t="s">
        <v>952</v>
      </c>
    </row>
    <row r="336">
      <c r="A336" s="54" t="s">
        <v>576</v>
      </c>
      <c r="B336" s="54" t="s">
        <v>16</v>
      </c>
      <c r="C336" s="54" t="s">
        <v>946</v>
      </c>
    </row>
    <row r="337">
      <c r="A337" s="54" t="s">
        <v>578</v>
      </c>
      <c r="B337" s="54" t="s">
        <v>42</v>
      </c>
      <c r="C337" s="54" t="s">
        <v>965</v>
      </c>
    </row>
    <row r="338">
      <c r="A338" s="54" t="s">
        <v>579</v>
      </c>
      <c r="B338" s="54" t="s">
        <v>38</v>
      </c>
      <c r="C338" s="54" t="s">
        <v>950</v>
      </c>
    </row>
    <row r="339">
      <c r="A339" s="54" t="s">
        <v>581</v>
      </c>
      <c r="B339" s="54" t="s">
        <v>42</v>
      </c>
      <c r="C339" s="54" t="s">
        <v>965</v>
      </c>
    </row>
    <row r="340">
      <c r="A340" s="54" t="s">
        <v>582</v>
      </c>
      <c r="B340" s="54" t="s">
        <v>72</v>
      </c>
      <c r="C340" s="54" t="s">
        <v>974</v>
      </c>
    </row>
    <row r="341">
      <c r="A341" s="54" t="s">
        <v>584</v>
      </c>
      <c r="B341" s="54" t="s">
        <v>111</v>
      </c>
      <c r="C341" s="54" t="s">
        <v>963</v>
      </c>
    </row>
    <row r="342">
      <c r="A342" s="54" t="s">
        <v>585</v>
      </c>
      <c r="B342" s="54" t="s">
        <v>111</v>
      </c>
      <c r="C342" s="54" t="s">
        <v>963</v>
      </c>
    </row>
    <row r="343">
      <c r="A343" s="54" t="s">
        <v>586</v>
      </c>
      <c r="B343" s="54" t="s">
        <v>22</v>
      </c>
      <c r="C343" s="54" t="s">
        <v>1009</v>
      </c>
    </row>
    <row r="344">
      <c r="A344" s="54" t="s">
        <v>588</v>
      </c>
      <c r="B344" s="54" t="s">
        <v>56</v>
      </c>
      <c r="C344" s="54" t="s">
        <v>973</v>
      </c>
    </row>
    <row r="345">
      <c r="A345" s="54" t="s">
        <v>590</v>
      </c>
      <c r="B345" s="54" t="s">
        <v>16</v>
      </c>
      <c r="C345" s="54" t="s">
        <v>29</v>
      </c>
    </row>
    <row r="346">
      <c r="A346" s="54" t="s">
        <v>591</v>
      </c>
      <c r="B346" s="54" t="s">
        <v>46</v>
      </c>
      <c r="C346" s="54" t="s">
        <v>949</v>
      </c>
    </row>
    <row r="347">
      <c r="A347" s="54" t="s">
        <v>592</v>
      </c>
      <c r="B347" s="54" t="s">
        <v>22</v>
      </c>
      <c r="C347" s="54" t="s">
        <v>952</v>
      </c>
    </row>
    <row r="348">
      <c r="A348" s="54" t="s">
        <v>593</v>
      </c>
      <c r="B348" s="54" t="s">
        <v>111</v>
      </c>
      <c r="C348" s="54" t="s">
        <v>963</v>
      </c>
    </row>
    <row r="349">
      <c r="A349" s="54" t="s">
        <v>595</v>
      </c>
      <c r="B349" s="54" t="s">
        <v>46</v>
      </c>
      <c r="C349" s="54" t="s">
        <v>949</v>
      </c>
    </row>
    <row r="350">
      <c r="A350" s="54" t="s">
        <v>596</v>
      </c>
      <c r="B350" s="54" t="s">
        <v>46</v>
      </c>
      <c r="C350" s="54" t="s">
        <v>968</v>
      </c>
    </row>
    <row r="351">
      <c r="A351" s="54" t="s">
        <v>597</v>
      </c>
      <c r="B351" s="54" t="s">
        <v>46</v>
      </c>
      <c r="C351" s="54" t="s">
        <v>949</v>
      </c>
    </row>
    <row r="352">
      <c r="A352" s="54" t="s">
        <v>599</v>
      </c>
      <c r="B352" s="54" t="s">
        <v>22</v>
      </c>
      <c r="C352" s="54" t="s">
        <v>970</v>
      </c>
    </row>
    <row r="353">
      <c r="A353" s="54" t="s">
        <v>600</v>
      </c>
      <c r="B353" s="54" t="s">
        <v>38</v>
      </c>
      <c r="C353" s="54" t="s">
        <v>39</v>
      </c>
    </row>
    <row r="354">
      <c r="A354" s="54" t="s">
        <v>601</v>
      </c>
      <c r="B354" s="54" t="s">
        <v>42</v>
      </c>
      <c r="C354" s="54" t="s">
        <v>965</v>
      </c>
    </row>
    <row r="355">
      <c r="A355" s="54" t="s">
        <v>603</v>
      </c>
      <c r="B355" s="54" t="s">
        <v>56</v>
      </c>
      <c r="C355" s="54" t="s">
        <v>975</v>
      </c>
    </row>
    <row r="356">
      <c r="A356" s="54" t="s">
        <v>604</v>
      </c>
      <c r="B356" s="54" t="s">
        <v>64</v>
      </c>
      <c r="C356" s="54" t="s">
        <v>1003</v>
      </c>
    </row>
    <row r="357">
      <c r="A357" s="54" t="s">
        <v>606</v>
      </c>
      <c r="B357" s="54" t="s">
        <v>56</v>
      </c>
      <c r="C357" s="54" t="s">
        <v>967</v>
      </c>
    </row>
    <row r="358">
      <c r="A358" s="54" t="s">
        <v>607</v>
      </c>
      <c r="B358" s="54" t="s">
        <v>111</v>
      </c>
      <c r="C358" s="54" t="s">
        <v>963</v>
      </c>
    </row>
    <row r="359">
      <c r="A359" s="54" t="s">
        <v>609</v>
      </c>
      <c r="B359" s="54" t="s">
        <v>38</v>
      </c>
      <c r="C359" s="54" t="s">
        <v>950</v>
      </c>
    </row>
    <row r="360">
      <c r="A360" s="54" t="s">
        <v>610</v>
      </c>
      <c r="B360" s="54" t="s">
        <v>22</v>
      </c>
      <c r="C360" s="54" t="s">
        <v>952</v>
      </c>
    </row>
    <row r="361">
      <c r="A361" s="54" t="s">
        <v>611</v>
      </c>
      <c r="B361" s="54" t="s">
        <v>22</v>
      </c>
      <c r="C361" s="54" t="s">
        <v>952</v>
      </c>
    </row>
    <row r="362">
      <c r="A362" s="54" t="s">
        <v>612</v>
      </c>
      <c r="B362" s="54" t="s">
        <v>22</v>
      </c>
      <c r="C362" s="54" t="s">
        <v>960</v>
      </c>
    </row>
    <row r="363">
      <c r="A363" s="54" t="s">
        <v>613</v>
      </c>
      <c r="B363" s="54" t="s">
        <v>46</v>
      </c>
      <c r="C363" s="54" t="s">
        <v>949</v>
      </c>
    </row>
    <row r="364">
      <c r="A364" s="54" t="s">
        <v>615</v>
      </c>
      <c r="B364" s="54" t="s">
        <v>46</v>
      </c>
      <c r="C364" s="54" t="s">
        <v>949</v>
      </c>
    </row>
    <row r="365">
      <c r="A365" s="54" t="s">
        <v>617</v>
      </c>
      <c r="B365" s="54" t="s">
        <v>111</v>
      </c>
      <c r="C365" s="54" t="s">
        <v>963</v>
      </c>
    </row>
    <row r="366">
      <c r="A366" s="54" t="s">
        <v>618</v>
      </c>
      <c r="B366" s="54" t="s">
        <v>38</v>
      </c>
      <c r="C366" s="54" t="s">
        <v>987</v>
      </c>
    </row>
    <row r="367">
      <c r="A367" s="54" t="s">
        <v>620</v>
      </c>
      <c r="B367" s="54" t="s">
        <v>22</v>
      </c>
      <c r="C367" s="54" t="s">
        <v>952</v>
      </c>
    </row>
    <row r="368">
      <c r="A368" s="54" t="s">
        <v>622</v>
      </c>
      <c r="B368" s="54" t="s">
        <v>46</v>
      </c>
      <c r="C368" s="54" t="s">
        <v>949</v>
      </c>
    </row>
    <row r="369">
      <c r="A369" s="54" t="s">
        <v>623</v>
      </c>
      <c r="B369" s="54" t="s">
        <v>16</v>
      </c>
      <c r="C369" s="54" t="s">
        <v>972</v>
      </c>
    </row>
    <row r="370">
      <c r="A370" s="54" t="s">
        <v>624</v>
      </c>
      <c r="B370" s="54" t="s">
        <v>46</v>
      </c>
      <c r="C370" s="54" t="s">
        <v>985</v>
      </c>
    </row>
    <row r="371">
      <c r="A371" s="54" t="s">
        <v>625</v>
      </c>
      <c r="B371" s="54" t="s">
        <v>56</v>
      </c>
      <c r="C371" s="54" t="s">
        <v>975</v>
      </c>
    </row>
    <row r="372">
      <c r="A372" s="54" t="s">
        <v>627</v>
      </c>
      <c r="B372" s="54" t="s">
        <v>22</v>
      </c>
      <c r="C372" s="54" t="s">
        <v>953</v>
      </c>
    </row>
    <row r="373">
      <c r="A373" s="54" t="s">
        <v>628</v>
      </c>
      <c r="B373" s="54" t="s">
        <v>22</v>
      </c>
      <c r="C373" s="54" t="s">
        <v>1010</v>
      </c>
    </row>
    <row r="374">
      <c r="A374" s="54" t="s">
        <v>629</v>
      </c>
      <c r="B374" s="54" t="s">
        <v>46</v>
      </c>
      <c r="C374" s="54" t="s">
        <v>968</v>
      </c>
    </row>
    <row r="375">
      <c r="A375" s="54" t="s">
        <v>631</v>
      </c>
      <c r="B375" s="54" t="s">
        <v>111</v>
      </c>
      <c r="C375" s="54" t="s">
        <v>963</v>
      </c>
    </row>
    <row r="376">
      <c r="A376" s="54" t="s">
        <v>632</v>
      </c>
      <c r="B376" s="54" t="s">
        <v>16</v>
      </c>
      <c r="C376" s="54" t="s">
        <v>29</v>
      </c>
    </row>
    <row r="377">
      <c r="A377" s="54" t="s">
        <v>634</v>
      </c>
      <c r="B377" s="54" t="s">
        <v>56</v>
      </c>
      <c r="C377" s="54" t="s">
        <v>967</v>
      </c>
    </row>
    <row r="378">
      <c r="A378" s="54" t="s">
        <v>635</v>
      </c>
      <c r="B378" s="54" t="s">
        <v>16</v>
      </c>
      <c r="C378" s="54" t="s">
        <v>946</v>
      </c>
    </row>
    <row r="379">
      <c r="A379" s="54" t="s">
        <v>637</v>
      </c>
      <c r="B379" s="54" t="s">
        <v>46</v>
      </c>
      <c r="C379" s="54" t="s">
        <v>958</v>
      </c>
    </row>
    <row r="380">
      <c r="A380" s="54" t="s">
        <v>639</v>
      </c>
      <c r="B380" s="54" t="s">
        <v>46</v>
      </c>
      <c r="C380" s="54" t="s">
        <v>949</v>
      </c>
    </row>
    <row r="381">
      <c r="A381" s="54" t="s">
        <v>641</v>
      </c>
      <c r="B381" s="54" t="s">
        <v>16</v>
      </c>
      <c r="C381" s="54" t="s">
        <v>994</v>
      </c>
    </row>
    <row r="382">
      <c r="A382" s="54" t="s">
        <v>643</v>
      </c>
      <c r="B382" s="54" t="s">
        <v>22</v>
      </c>
      <c r="C382" s="54" t="s">
        <v>960</v>
      </c>
    </row>
    <row r="383">
      <c r="A383" s="54" t="s">
        <v>644</v>
      </c>
      <c r="B383" s="54" t="s">
        <v>16</v>
      </c>
      <c r="C383" s="54" t="s">
        <v>29</v>
      </c>
    </row>
    <row r="384">
      <c r="A384" s="54" t="s">
        <v>645</v>
      </c>
      <c r="B384" s="54" t="s">
        <v>22</v>
      </c>
      <c r="C384" s="54" t="s">
        <v>960</v>
      </c>
    </row>
    <row r="385">
      <c r="A385" s="54" t="s">
        <v>646</v>
      </c>
      <c r="B385" s="54" t="s">
        <v>46</v>
      </c>
      <c r="C385" s="54" t="s">
        <v>958</v>
      </c>
    </row>
    <row r="386">
      <c r="A386" s="54" t="s">
        <v>648</v>
      </c>
      <c r="B386" s="54" t="s">
        <v>16</v>
      </c>
      <c r="C386" s="54" t="s">
        <v>946</v>
      </c>
    </row>
    <row r="387">
      <c r="A387" s="54" t="s">
        <v>650</v>
      </c>
      <c r="B387" s="54" t="s">
        <v>217</v>
      </c>
      <c r="C387" s="54" t="s">
        <v>990</v>
      </c>
    </row>
    <row r="388">
      <c r="A388" s="54" t="s">
        <v>651</v>
      </c>
      <c r="B388" s="54" t="s">
        <v>64</v>
      </c>
      <c r="C388" s="54" t="s">
        <v>962</v>
      </c>
    </row>
    <row r="389">
      <c r="A389" s="54" t="s">
        <v>653</v>
      </c>
      <c r="B389" s="54" t="s">
        <v>42</v>
      </c>
      <c r="C389" s="54" t="s">
        <v>965</v>
      </c>
    </row>
    <row r="390">
      <c r="A390" s="54" t="s">
        <v>655</v>
      </c>
      <c r="B390" s="54" t="s">
        <v>22</v>
      </c>
      <c r="C390" s="54" t="s">
        <v>952</v>
      </c>
    </row>
    <row r="391">
      <c r="A391" s="54" t="s">
        <v>657</v>
      </c>
      <c r="B391" s="54" t="s">
        <v>46</v>
      </c>
      <c r="C391" s="54" t="s">
        <v>958</v>
      </c>
    </row>
    <row r="392">
      <c r="A392" s="54" t="s">
        <v>659</v>
      </c>
      <c r="B392" s="54" t="s">
        <v>46</v>
      </c>
      <c r="C392" s="54" t="s">
        <v>958</v>
      </c>
    </row>
    <row r="393">
      <c r="A393" s="54" t="s">
        <v>660</v>
      </c>
      <c r="B393" s="54" t="s">
        <v>22</v>
      </c>
      <c r="C393" s="54" t="s">
        <v>952</v>
      </c>
    </row>
    <row r="394">
      <c r="A394" s="54" t="s">
        <v>662</v>
      </c>
      <c r="B394" s="54" t="s">
        <v>22</v>
      </c>
      <c r="C394" s="54" t="s">
        <v>956</v>
      </c>
    </row>
    <row r="395">
      <c r="A395" s="54" t="s">
        <v>663</v>
      </c>
      <c r="B395" s="54" t="s">
        <v>46</v>
      </c>
      <c r="C395" s="54" t="s">
        <v>949</v>
      </c>
    </row>
    <row r="396">
      <c r="A396" s="54" t="s">
        <v>664</v>
      </c>
      <c r="B396" s="54" t="s">
        <v>22</v>
      </c>
      <c r="C396" s="54" t="s">
        <v>960</v>
      </c>
    </row>
    <row r="397">
      <c r="A397" s="54" t="s">
        <v>666</v>
      </c>
      <c r="B397" s="54" t="s">
        <v>64</v>
      </c>
      <c r="C397" s="54" t="s">
        <v>980</v>
      </c>
    </row>
    <row r="398">
      <c r="A398" s="54" t="s">
        <v>667</v>
      </c>
      <c r="B398" s="54" t="s">
        <v>42</v>
      </c>
      <c r="C398" s="54" t="s">
        <v>947</v>
      </c>
    </row>
    <row r="399">
      <c r="A399" s="54" t="s">
        <v>669</v>
      </c>
      <c r="B399" s="54" t="s">
        <v>46</v>
      </c>
      <c r="C399" s="54" t="s">
        <v>985</v>
      </c>
    </row>
    <row r="400">
      <c r="A400" s="54" t="s">
        <v>671</v>
      </c>
      <c r="B400" s="54" t="s">
        <v>56</v>
      </c>
      <c r="C400" s="54" t="s">
        <v>967</v>
      </c>
    </row>
    <row r="401">
      <c r="A401" s="54" t="s">
        <v>672</v>
      </c>
      <c r="B401" s="54" t="s">
        <v>22</v>
      </c>
      <c r="C401" s="54" t="s">
        <v>952</v>
      </c>
    </row>
    <row r="402">
      <c r="A402" s="54" t="s">
        <v>673</v>
      </c>
      <c r="B402" s="54" t="s">
        <v>56</v>
      </c>
      <c r="C402" s="54" t="s">
        <v>975</v>
      </c>
    </row>
    <row r="403">
      <c r="A403" s="54" t="s">
        <v>675</v>
      </c>
      <c r="B403" s="54" t="s">
        <v>46</v>
      </c>
      <c r="C403" s="54" t="s">
        <v>949</v>
      </c>
    </row>
    <row r="404">
      <c r="A404" s="54" t="s">
        <v>676</v>
      </c>
      <c r="B404" s="54" t="s">
        <v>22</v>
      </c>
      <c r="C404" s="54" t="s">
        <v>952</v>
      </c>
    </row>
    <row r="405">
      <c r="A405" s="54" t="s">
        <v>677</v>
      </c>
      <c r="B405" s="54" t="s">
        <v>22</v>
      </c>
      <c r="C405" s="54" t="s">
        <v>952</v>
      </c>
    </row>
    <row r="406">
      <c r="A406" s="54" t="s">
        <v>678</v>
      </c>
      <c r="B406" s="54" t="s">
        <v>46</v>
      </c>
      <c r="C406" s="54" t="s">
        <v>968</v>
      </c>
    </row>
    <row r="407">
      <c r="A407" s="54" t="s">
        <v>679</v>
      </c>
      <c r="B407" s="54" t="s">
        <v>56</v>
      </c>
      <c r="C407" s="54" t="s">
        <v>967</v>
      </c>
    </row>
    <row r="408">
      <c r="A408" s="54" t="s">
        <v>680</v>
      </c>
      <c r="B408" s="54" t="s">
        <v>46</v>
      </c>
      <c r="C408" s="54" t="s">
        <v>949</v>
      </c>
    </row>
    <row r="409">
      <c r="A409" s="54" t="s">
        <v>681</v>
      </c>
      <c r="B409" s="54" t="s">
        <v>46</v>
      </c>
      <c r="C409" s="54" t="s">
        <v>949</v>
      </c>
    </row>
    <row r="410">
      <c r="A410" s="54" t="s">
        <v>683</v>
      </c>
      <c r="B410" s="54" t="s">
        <v>46</v>
      </c>
      <c r="C410" s="54" t="s">
        <v>949</v>
      </c>
    </row>
    <row r="411">
      <c r="A411" s="54" t="s">
        <v>685</v>
      </c>
      <c r="B411" s="54" t="s">
        <v>46</v>
      </c>
      <c r="C411" s="54" t="s">
        <v>949</v>
      </c>
    </row>
    <row r="412">
      <c r="A412" s="54" t="s">
        <v>686</v>
      </c>
      <c r="B412" s="54" t="s">
        <v>64</v>
      </c>
      <c r="C412" s="54" t="s">
        <v>1003</v>
      </c>
    </row>
    <row r="413">
      <c r="A413" s="54" t="s">
        <v>687</v>
      </c>
      <c r="B413" s="54" t="s">
        <v>111</v>
      </c>
      <c r="C413" s="54" t="s">
        <v>963</v>
      </c>
    </row>
    <row r="414">
      <c r="A414" s="54" t="s">
        <v>688</v>
      </c>
      <c r="B414" s="54" t="s">
        <v>111</v>
      </c>
      <c r="C414" s="54" t="s">
        <v>963</v>
      </c>
    </row>
    <row r="415">
      <c r="A415" s="54" t="s">
        <v>689</v>
      </c>
      <c r="B415" s="54" t="s">
        <v>22</v>
      </c>
      <c r="C415" s="54" t="s">
        <v>960</v>
      </c>
    </row>
    <row r="416">
      <c r="A416" s="54" t="s">
        <v>690</v>
      </c>
      <c r="B416" s="54" t="s">
        <v>64</v>
      </c>
      <c r="C416" s="54" t="s">
        <v>989</v>
      </c>
    </row>
    <row r="417">
      <c r="A417" s="54" t="s">
        <v>692</v>
      </c>
      <c r="B417" s="54" t="s">
        <v>111</v>
      </c>
      <c r="C417" s="54" t="s">
        <v>963</v>
      </c>
    </row>
    <row r="418">
      <c r="A418" s="54" t="s">
        <v>693</v>
      </c>
      <c r="B418" s="54" t="s">
        <v>64</v>
      </c>
      <c r="C418" s="54" t="s">
        <v>1011</v>
      </c>
    </row>
    <row r="419">
      <c r="A419" s="54" t="s">
        <v>695</v>
      </c>
      <c r="B419" s="54" t="s">
        <v>56</v>
      </c>
      <c r="C419" s="54" t="s">
        <v>967</v>
      </c>
    </row>
    <row r="420">
      <c r="A420" s="54" t="s">
        <v>697</v>
      </c>
      <c r="B420" s="54" t="s">
        <v>22</v>
      </c>
      <c r="C420" s="54" t="s">
        <v>952</v>
      </c>
    </row>
    <row r="421">
      <c r="A421" s="54" t="s">
        <v>698</v>
      </c>
      <c r="B421" s="54" t="s">
        <v>56</v>
      </c>
      <c r="C421" s="54" t="s">
        <v>967</v>
      </c>
    </row>
    <row r="422">
      <c r="A422" s="54" t="s">
        <v>699</v>
      </c>
      <c r="B422" s="54" t="s">
        <v>22</v>
      </c>
      <c r="C422" s="54" t="s">
        <v>986</v>
      </c>
    </row>
    <row r="423">
      <c r="A423" s="54" t="s">
        <v>700</v>
      </c>
      <c r="B423" s="54" t="s">
        <v>16</v>
      </c>
      <c r="C423" s="54" t="s">
        <v>946</v>
      </c>
    </row>
    <row r="424">
      <c r="A424" s="54" t="s">
        <v>702</v>
      </c>
      <c r="B424" s="54" t="s">
        <v>64</v>
      </c>
      <c r="C424" s="54" t="s">
        <v>954</v>
      </c>
    </row>
    <row r="425">
      <c r="A425" s="54" t="s">
        <v>703</v>
      </c>
      <c r="B425" s="54" t="s">
        <v>16</v>
      </c>
      <c r="C425" s="54" t="s">
        <v>994</v>
      </c>
    </row>
    <row r="426">
      <c r="A426" s="54" t="s">
        <v>704</v>
      </c>
      <c r="B426" s="54" t="s">
        <v>46</v>
      </c>
      <c r="C426" s="54" t="s">
        <v>958</v>
      </c>
    </row>
    <row r="427">
      <c r="A427" s="54" t="s">
        <v>705</v>
      </c>
      <c r="B427" s="54" t="s">
        <v>16</v>
      </c>
      <c r="C427" s="54" t="s">
        <v>994</v>
      </c>
    </row>
    <row r="428">
      <c r="A428" s="54" t="s">
        <v>707</v>
      </c>
      <c r="B428" s="54" t="s">
        <v>22</v>
      </c>
      <c r="C428" s="54" t="s">
        <v>955</v>
      </c>
    </row>
    <row r="429">
      <c r="A429" s="54" t="s">
        <v>709</v>
      </c>
      <c r="B429" s="54" t="s">
        <v>22</v>
      </c>
      <c r="C429" s="54" t="s">
        <v>952</v>
      </c>
    </row>
    <row r="430">
      <c r="A430" s="54" t="s">
        <v>710</v>
      </c>
      <c r="B430" s="54" t="s">
        <v>22</v>
      </c>
      <c r="C430" s="54" t="s">
        <v>952</v>
      </c>
    </row>
    <row r="431">
      <c r="A431" s="54" t="s">
        <v>712</v>
      </c>
      <c r="B431" s="54" t="s">
        <v>46</v>
      </c>
      <c r="C431" s="54" t="s">
        <v>949</v>
      </c>
    </row>
    <row r="432">
      <c r="A432" s="54" t="s">
        <v>714</v>
      </c>
      <c r="B432" s="54" t="s">
        <v>56</v>
      </c>
      <c r="C432" s="54" t="s">
        <v>967</v>
      </c>
    </row>
    <row r="433">
      <c r="A433" s="54" t="s">
        <v>715</v>
      </c>
      <c r="B433" s="54" t="s">
        <v>56</v>
      </c>
      <c r="C433" s="54" t="s">
        <v>967</v>
      </c>
    </row>
    <row r="434">
      <c r="A434" s="54" t="s">
        <v>717</v>
      </c>
      <c r="B434" s="54" t="s">
        <v>56</v>
      </c>
      <c r="C434" s="54" t="s">
        <v>969</v>
      </c>
    </row>
    <row r="435">
      <c r="A435" s="54" t="s">
        <v>718</v>
      </c>
      <c r="B435" s="54" t="s">
        <v>22</v>
      </c>
      <c r="C435" s="54" t="s">
        <v>952</v>
      </c>
    </row>
    <row r="436">
      <c r="A436" s="54" t="s">
        <v>719</v>
      </c>
      <c r="B436" s="54" t="s">
        <v>16</v>
      </c>
      <c r="C436" s="54" t="s">
        <v>29</v>
      </c>
    </row>
    <row r="437">
      <c r="A437" s="54" t="s">
        <v>720</v>
      </c>
      <c r="B437" s="54" t="s">
        <v>16</v>
      </c>
      <c r="C437" s="54" t="s">
        <v>946</v>
      </c>
    </row>
    <row r="438">
      <c r="A438" s="54" t="s">
        <v>721</v>
      </c>
      <c r="B438" s="54" t="s">
        <v>16</v>
      </c>
      <c r="C438" s="54" t="s">
        <v>29</v>
      </c>
    </row>
    <row r="439">
      <c r="A439" s="54" t="s">
        <v>722</v>
      </c>
      <c r="B439" s="54" t="s">
        <v>46</v>
      </c>
      <c r="C439" s="54" t="s">
        <v>968</v>
      </c>
    </row>
    <row r="440">
      <c r="A440" s="54" t="s">
        <v>724</v>
      </c>
      <c r="B440" s="54" t="s">
        <v>22</v>
      </c>
      <c r="C440" s="54" t="s">
        <v>952</v>
      </c>
    </row>
    <row r="441">
      <c r="A441" s="54" t="s">
        <v>725</v>
      </c>
      <c r="B441" s="54" t="s">
        <v>46</v>
      </c>
      <c r="C441" s="54" t="s">
        <v>949</v>
      </c>
    </row>
    <row r="442">
      <c r="A442" s="54" t="s">
        <v>726</v>
      </c>
      <c r="B442" s="54" t="s">
        <v>22</v>
      </c>
      <c r="C442" s="54" t="s">
        <v>952</v>
      </c>
    </row>
    <row r="443">
      <c r="A443" s="54" t="s">
        <v>727</v>
      </c>
      <c r="B443" s="54" t="s">
        <v>42</v>
      </c>
      <c r="C443" s="54" t="s">
        <v>964</v>
      </c>
    </row>
    <row r="444">
      <c r="A444" s="54" t="s">
        <v>728</v>
      </c>
      <c r="B444" s="54" t="s">
        <v>22</v>
      </c>
      <c r="C444" s="54" t="s">
        <v>988</v>
      </c>
    </row>
    <row r="445">
      <c r="A445" s="54" t="s">
        <v>729</v>
      </c>
      <c r="B445" s="54" t="s">
        <v>16</v>
      </c>
      <c r="C445" s="54" t="s">
        <v>17</v>
      </c>
    </row>
    <row r="446">
      <c r="A446" s="54" t="s">
        <v>730</v>
      </c>
      <c r="B446" s="54" t="s">
        <v>38</v>
      </c>
      <c r="C446" s="54" t="s">
        <v>1000</v>
      </c>
    </row>
    <row r="447">
      <c r="A447" s="54" t="s">
        <v>732</v>
      </c>
      <c r="B447" s="54" t="s">
        <v>46</v>
      </c>
      <c r="C447" s="54" t="s">
        <v>968</v>
      </c>
    </row>
    <row r="448">
      <c r="A448" s="54" t="s">
        <v>734</v>
      </c>
      <c r="B448" s="54" t="s">
        <v>42</v>
      </c>
      <c r="C448" s="54" t="s">
        <v>991</v>
      </c>
    </row>
    <row r="449">
      <c r="A449" s="54" t="s">
        <v>735</v>
      </c>
      <c r="B449" s="54" t="s">
        <v>42</v>
      </c>
      <c r="C449" s="54" t="s">
        <v>965</v>
      </c>
    </row>
    <row r="450">
      <c r="A450" s="54" t="s">
        <v>736</v>
      </c>
      <c r="B450" s="54" t="s">
        <v>46</v>
      </c>
      <c r="C450" s="54" t="s">
        <v>949</v>
      </c>
    </row>
    <row r="451">
      <c r="A451" s="54" t="s">
        <v>737</v>
      </c>
      <c r="B451" s="54" t="s">
        <v>22</v>
      </c>
      <c r="C451" s="54" t="s">
        <v>988</v>
      </c>
    </row>
    <row r="452">
      <c r="A452" s="54" t="s">
        <v>738</v>
      </c>
      <c r="B452" s="54" t="s">
        <v>111</v>
      </c>
      <c r="C452" s="54" t="s">
        <v>963</v>
      </c>
    </row>
    <row r="453">
      <c r="A453" s="54" t="s">
        <v>739</v>
      </c>
      <c r="B453" s="54" t="s">
        <v>46</v>
      </c>
      <c r="C453" s="54" t="s">
        <v>985</v>
      </c>
    </row>
    <row r="454">
      <c r="A454" s="54" t="s">
        <v>741</v>
      </c>
      <c r="B454" s="54" t="s">
        <v>38</v>
      </c>
      <c r="C454" s="54" t="s">
        <v>950</v>
      </c>
    </row>
    <row r="455">
      <c r="A455" s="54" t="s">
        <v>742</v>
      </c>
      <c r="B455" s="54" t="s">
        <v>16</v>
      </c>
      <c r="C455" s="54" t="s">
        <v>966</v>
      </c>
    </row>
    <row r="456">
      <c r="A456" s="54" t="s">
        <v>743</v>
      </c>
      <c r="B456" s="54" t="s">
        <v>64</v>
      </c>
      <c r="C456" s="54" t="s">
        <v>962</v>
      </c>
    </row>
    <row r="457">
      <c r="A457" s="54" t="s">
        <v>744</v>
      </c>
      <c r="B457" s="54" t="s">
        <v>42</v>
      </c>
      <c r="C457" s="54" t="s">
        <v>991</v>
      </c>
    </row>
    <row r="458">
      <c r="A458" s="54" t="s">
        <v>745</v>
      </c>
      <c r="B458" s="54" t="s">
        <v>16</v>
      </c>
      <c r="C458" s="54" t="s">
        <v>29</v>
      </c>
    </row>
    <row r="459">
      <c r="A459" s="54" t="s">
        <v>747</v>
      </c>
      <c r="B459" s="54" t="s">
        <v>46</v>
      </c>
      <c r="C459" s="54" t="s">
        <v>949</v>
      </c>
    </row>
    <row r="460">
      <c r="A460" s="54" t="s">
        <v>748</v>
      </c>
      <c r="B460" s="54" t="s">
        <v>42</v>
      </c>
      <c r="C460" s="54" t="s">
        <v>991</v>
      </c>
    </row>
    <row r="461">
      <c r="A461" s="54" t="s">
        <v>749</v>
      </c>
      <c r="B461" s="54" t="s">
        <v>22</v>
      </c>
      <c r="C461" s="54" t="s">
        <v>956</v>
      </c>
    </row>
    <row r="462">
      <c r="A462" s="54" t="s">
        <v>750</v>
      </c>
      <c r="B462" s="54" t="s">
        <v>22</v>
      </c>
      <c r="C462" s="54" t="s">
        <v>971</v>
      </c>
    </row>
    <row r="463">
      <c r="A463" s="54" t="s">
        <v>751</v>
      </c>
      <c r="B463" s="54" t="s">
        <v>56</v>
      </c>
      <c r="C463" s="54" t="s">
        <v>967</v>
      </c>
    </row>
    <row r="464">
      <c r="A464" s="54" t="s">
        <v>753</v>
      </c>
      <c r="B464" s="54" t="s">
        <v>16</v>
      </c>
      <c r="C464" s="54" t="s">
        <v>994</v>
      </c>
    </row>
    <row r="465">
      <c r="A465" s="54" t="s">
        <v>754</v>
      </c>
      <c r="B465" s="54" t="s">
        <v>16</v>
      </c>
      <c r="C465" s="54" t="s">
        <v>946</v>
      </c>
    </row>
    <row r="466">
      <c r="A466" s="54" t="s">
        <v>756</v>
      </c>
      <c r="B466" s="54" t="s">
        <v>42</v>
      </c>
      <c r="C466" s="54" t="s">
        <v>947</v>
      </c>
    </row>
    <row r="467">
      <c r="A467" s="54" t="s">
        <v>758</v>
      </c>
      <c r="B467" s="54" t="s">
        <v>64</v>
      </c>
      <c r="C467" s="54" t="s">
        <v>954</v>
      </c>
    </row>
    <row r="468">
      <c r="A468" s="54" t="s">
        <v>759</v>
      </c>
      <c r="B468" s="54" t="s">
        <v>22</v>
      </c>
      <c r="C468" s="54" t="s">
        <v>952</v>
      </c>
    </row>
    <row r="469">
      <c r="A469" s="54" t="s">
        <v>760</v>
      </c>
      <c r="B469" s="54" t="s">
        <v>16</v>
      </c>
      <c r="C469" s="54" t="s">
        <v>17</v>
      </c>
    </row>
    <row r="470">
      <c r="A470" s="54" t="s">
        <v>761</v>
      </c>
      <c r="B470" s="54" t="s">
        <v>46</v>
      </c>
      <c r="C470" s="54" t="s">
        <v>949</v>
      </c>
    </row>
    <row r="471">
      <c r="A471" s="54" t="s">
        <v>763</v>
      </c>
      <c r="B471" s="54" t="s">
        <v>46</v>
      </c>
      <c r="C471" s="54" t="s">
        <v>949</v>
      </c>
    </row>
    <row r="472">
      <c r="A472" s="54" t="s">
        <v>765</v>
      </c>
      <c r="B472" s="54" t="s">
        <v>42</v>
      </c>
      <c r="C472" s="54" t="s">
        <v>965</v>
      </c>
    </row>
    <row r="473">
      <c r="A473" s="54" t="s">
        <v>767</v>
      </c>
      <c r="B473" s="54" t="s">
        <v>22</v>
      </c>
      <c r="C473" s="54" t="s">
        <v>953</v>
      </c>
    </row>
    <row r="474">
      <c r="A474" s="54" t="s">
        <v>768</v>
      </c>
      <c r="B474" s="54" t="s">
        <v>217</v>
      </c>
      <c r="C474" s="54" t="s">
        <v>990</v>
      </c>
    </row>
    <row r="475">
      <c r="A475" s="54" t="s">
        <v>769</v>
      </c>
      <c r="B475" s="54" t="s">
        <v>16</v>
      </c>
      <c r="C475" s="54" t="s">
        <v>977</v>
      </c>
    </row>
    <row r="476">
      <c r="A476" s="54" t="s">
        <v>771</v>
      </c>
      <c r="B476" s="54" t="s">
        <v>111</v>
      </c>
      <c r="C476" s="54" t="s">
        <v>963</v>
      </c>
    </row>
    <row r="477">
      <c r="A477" s="54" t="s">
        <v>772</v>
      </c>
      <c r="B477" s="54" t="s">
        <v>46</v>
      </c>
      <c r="C477" s="54" t="s">
        <v>949</v>
      </c>
    </row>
    <row r="478">
      <c r="A478" s="54" t="s">
        <v>774</v>
      </c>
      <c r="B478" s="54" t="s">
        <v>46</v>
      </c>
      <c r="C478" s="54" t="s">
        <v>968</v>
      </c>
    </row>
    <row r="479">
      <c r="A479" s="54" t="s">
        <v>775</v>
      </c>
      <c r="B479" s="54" t="s">
        <v>22</v>
      </c>
      <c r="C479" s="54" t="s">
        <v>952</v>
      </c>
    </row>
    <row r="480">
      <c r="A480" s="54" t="s">
        <v>776</v>
      </c>
      <c r="B480" s="54" t="s">
        <v>22</v>
      </c>
      <c r="C480" s="54" t="s">
        <v>952</v>
      </c>
    </row>
    <row r="481">
      <c r="A481" s="54" t="s">
        <v>777</v>
      </c>
      <c r="B481" s="54" t="s">
        <v>22</v>
      </c>
      <c r="C481" s="54" t="s">
        <v>953</v>
      </c>
    </row>
    <row r="482">
      <c r="A482" s="54" t="s">
        <v>778</v>
      </c>
      <c r="B482" s="54" t="s">
        <v>72</v>
      </c>
      <c r="C482" s="54" t="s">
        <v>995</v>
      </c>
    </row>
    <row r="483">
      <c r="A483" s="54" t="s">
        <v>779</v>
      </c>
      <c r="B483" s="54" t="s">
        <v>16</v>
      </c>
      <c r="C483" s="54" t="s">
        <v>29</v>
      </c>
    </row>
    <row r="484">
      <c r="A484" s="54" t="s">
        <v>781</v>
      </c>
      <c r="B484" s="54" t="s">
        <v>56</v>
      </c>
      <c r="C484" s="54" t="s">
        <v>967</v>
      </c>
    </row>
    <row r="485">
      <c r="A485" s="54" t="s">
        <v>783</v>
      </c>
      <c r="B485" s="54" t="s">
        <v>22</v>
      </c>
      <c r="C485" s="54" t="s">
        <v>952</v>
      </c>
    </row>
    <row r="486">
      <c r="A486" s="54" t="s">
        <v>784</v>
      </c>
      <c r="B486" s="54" t="s">
        <v>46</v>
      </c>
      <c r="C486" s="54" t="s">
        <v>949</v>
      </c>
    </row>
    <row r="487">
      <c r="A487" s="54" t="s">
        <v>785</v>
      </c>
      <c r="B487" s="54" t="s">
        <v>16</v>
      </c>
      <c r="C487" s="54" t="s">
        <v>966</v>
      </c>
    </row>
    <row r="488">
      <c r="A488" s="54" t="s">
        <v>786</v>
      </c>
      <c r="B488" s="54" t="s">
        <v>72</v>
      </c>
      <c r="C488" s="54" t="s">
        <v>995</v>
      </c>
    </row>
    <row r="489">
      <c r="A489" s="54" t="s">
        <v>787</v>
      </c>
      <c r="B489" s="54" t="s">
        <v>111</v>
      </c>
      <c r="C489" s="54" t="s">
        <v>963</v>
      </c>
    </row>
    <row r="490">
      <c r="A490" s="54" t="s">
        <v>788</v>
      </c>
      <c r="B490" s="54" t="s">
        <v>22</v>
      </c>
      <c r="C490" s="54" t="s">
        <v>955</v>
      </c>
    </row>
    <row r="491">
      <c r="A491" s="54" t="s">
        <v>789</v>
      </c>
      <c r="B491" s="54" t="s">
        <v>111</v>
      </c>
      <c r="C491" s="54" t="s">
        <v>963</v>
      </c>
    </row>
    <row r="492">
      <c r="A492" s="54" t="s">
        <v>790</v>
      </c>
      <c r="B492" s="54" t="s">
        <v>72</v>
      </c>
      <c r="C492" s="54" t="s">
        <v>995</v>
      </c>
    </row>
    <row r="493">
      <c r="A493" s="54" t="s">
        <v>791</v>
      </c>
      <c r="B493" s="54" t="s">
        <v>217</v>
      </c>
      <c r="C493" s="54" t="s">
        <v>999</v>
      </c>
    </row>
    <row r="494">
      <c r="A494" s="54" t="s">
        <v>792</v>
      </c>
      <c r="B494" s="54" t="s">
        <v>22</v>
      </c>
      <c r="C494" s="54" t="s">
        <v>953</v>
      </c>
    </row>
    <row r="495">
      <c r="A495" s="54" t="s">
        <v>794</v>
      </c>
      <c r="B495" s="54" t="s">
        <v>46</v>
      </c>
      <c r="C495" s="54" t="s">
        <v>958</v>
      </c>
    </row>
    <row r="496">
      <c r="A496" s="54" t="s">
        <v>796</v>
      </c>
      <c r="B496" s="54" t="s">
        <v>16</v>
      </c>
      <c r="C496" s="54" t="s">
        <v>946</v>
      </c>
    </row>
    <row r="497">
      <c r="A497" s="54" t="s">
        <v>797</v>
      </c>
      <c r="B497" s="54" t="s">
        <v>42</v>
      </c>
      <c r="C497" s="54" t="s">
        <v>964</v>
      </c>
    </row>
    <row r="498">
      <c r="A498" s="54" t="s">
        <v>799</v>
      </c>
      <c r="B498" s="54" t="s">
        <v>38</v>
      </c>
      <c r="C498" s="54" t="s">
        <v>959</v>
      </c>
    </row>
    <row r="499">
      <c r="A499" s="54" t="s">
        <v>800</v>
      </c>
      <c r="B499" s="54" t="s">
        <v>16</v>
      </c>
      <c r="C499" s="54" t="s">
        <v>29</v>
      </c>
    </row>
    <row r="500">
      <c r="A500" s="54" t="s">
        <v>802</v>
      </c>
      <c r="B500" s="54" t="s">
        <v>22</v>
      </c>
      <c r="C500" s="54" t="s">
        <v>971</v>
      </c>
    </row>
    <row r="501">
      <c r="A501" s="54" t="s">
        <v>803</v>
      </c>
      <c r="B501" s="54" t="s">
        <v>22</v>
      </c>
      <c r="C501" s="54" t="s">
        <v>952</v>
      </c>
    </row>
    <row r="502">
      <c r="A502" s="54" t="s">
        <v>804</v>
      </c>
      <c r="B502" s="54" t="s">
        <v>56</v>
      </c>
      <c r="C502" s="54" t="s">
        <v>969</v>
      </c>
    </row>
    <row r="503">
      <c r="A503" s="54" t="s">
        <v>806</v>
      </c>
      <c r="B503" s="54" t="s">
        <v>22</v>
      </c>
      <c r="C503" s="54" t="s">
        <v>970</v>
      </c>
    </row>
    <row r="504">
      <c r="A504" s="54" t="s">
        <v>807</v>
      </c>
      <c r="B504" s="54" t="s">
        <v>16</v>
      </c>
      <c r="C504" s="54" t="s">
        <v>29</v>
      </c>
    </row>
    <row r="505">
      <c r="A505" s="54" t="s">
        <v>809</v>
      </c>
      <c r="B505" s="54" t="s">
        <v>56</v>
      </c>
      <c r="C505" s="54" t="s">
        <v>975</v>
      </c>
    </row>
    <row r="506">
      <c r="A506" s="54" t="s">
        <v>810</v>
      </c>
      <c r="B506" s="54" t="s">
        <v>46</v>
      </c>
      <c r="C506" s="54" t="s">
        <v>968</v>
      </c>
    </row>
    <row r="507">
      <c r="A507" s="54" t="s">
        <v>811</v>
      </c>
      <c r="B507" s="54" t="s">
        <v>22</v>
      </c>
      <c r="C507" s="54" t="s">
        <v>988</v>
      </c>
    </row>
    <row r="508">
      <c r="A508" s="54" t="s">
        <v>812</v>
      </c>
      <c r="B508" s="54" t="s">
        <v>56</v>
      </c>
      <c r="C508" s="54" t="s">
        <v>967</v>
      </c>
    </row>
    <row r="509">
      <c r="A509" s="54" t="s">
        <v>813</v>
      </c>
      <c r="B509" s="54" t="s">
        <v>56</v>
      </c>
      <c r="C509" s="54" t="s">
        <v>967</v>
      </c>
    </row>
    <row r="510">
      <c r="A510" s="54" t="s">
        <v>814</v>
      </c>
      <c r="B510" s="54" t="s">
        <v>56</v>
      </c>
      <c r="C510" s="54" t="s">
        <v>951</v>
      </c>
    </row>
    <row r="511">
      <c r="A511" s="54" t="s">
        <v>815</v>
      </c>
      <c r="B511" s="54" t="s">
        <v>38</v>
      </c>
      <c r="C511" s="54" t="s">
        <v>950</v>
      </c>
    </row>
    <row r="512">
      <c r="A512" s="54" t="s">
        <v>817</v>
      </c>
      <c r="B512" s="54" t="s">
        <v>42</v>
      </c>
      <c r="C512" s="54" t="s">
        <v>964</v>
      </c>
    </row>
    <row r="513">
      <c r="A513" s="54" t="s">
        <v>818</v>
      </c>
      <c r="B513" s="54" t="s">
        <v>56</v>
      </c>
      <c r="C513" s="54" t="s">
        <v>978</v>
      </c>
    </row>
    <row r="514">
      <c r="A514" s="54" t="s">
        <v>819</v>
      </c>
      <c r="B514" s="54" t="s">
        <v>16</v>
      </c>
      <c r="C514" s="54" t="s">
        <v>29</v>
      </c>
    </row>
    <row r="515">
      <c r="A515" s="54" t="s">
        <v>820</v>
      </c>
      <c r="B515" s="54" t="s">
        <v>46</v>
      </c>
      <c r="C515" s="54" t="s">
        <v>968</v>
      </c>
    </row>
    <row r="516">
      <c r="A516" s="54" t="s">
        <v>822</v>
      </c>
      <c r="B516" s="54" t="s">
        <v>72</v>
      </c>
      <c r="C516" s="54" t="s">
        <v>979</v>
      </c>
    </row>
    <row r="517">
      <c r="A517" s="54" t="s">
        <v>823</v>
      </c>
      <c r="B517" s="54" t="s">
        <v>16</v>
      </c>
      <c r="C517" s="54" t="s">
        <v>17</v>
      </c>
    </row>
    <row r="518">
      <c r="A518" s="54" t="s">
        <v>825</v>
      </c>
      <c r="B518" s="54" t="s">
        <v>46</v>
      </c>
      <c r="C518" s="54" t="s">
        <v>949</v>
      </c>
    </row>
    <row r="519">
      <c r="A519" s="54" t="s">
        <v>826</v>
      </c>
      <c r="B519" s="54" t="s">
        <v>72</v>
      </c>
      <c r="C519" s="54" t="s">
        <v>974</v>
      </c>
    </row>
    <row r="520">
      <c r="A520" s="54" t="s">
        <v>828</v>
      </c>
      <c r="B520" s="54" t="s">
        <v>56</v>
      </c>
      <c r="C520" s="54" t="s">
        <v>973</v>
      </c>
    </row>
    <row r="521">
      <c r="A521" s="54" t="s">
        <v>829</v>
      </c>
      <c r="B521" s="54" t="s">
        <v>111</v>
      </c>
      <c r="C521" s="54" t="s">
        <v>963</v>
      </c>
    </row>
    <row r="522">
      <c r="A522" s="54" t="s">
        <v>830</v>
      </c>
      <c r="B522" s="54" t="s">
        <v>56</v>
      </c>
      <c r="C522" s="54" t="s">
        <v>975</v>
      </c>
    </row>
    <row r="523">
      <c r="A523" s="54" t="s">
        <v>832</v>
      </c>
      <c r="B523" s="54" t="s">
        <v>46</v>
      </c>
      <c r="C523" s="54" t="s">
        <v>949</v>
      </c>
    </row>
    <row r="524">
      <c r="A524" s="54" t="s">
        <v>833</v>
      </c>
      <c r="B524" s="54" t="s">
        <v>22</v>
      </c>
      <c r="C524" s="54" t="s">
        <v>970</v>
      </c>
    </row>
    <row r="525">
      <c r="A525" s="54" t="s">
        <v>834</v>
      </c>
      <c r="B525" s="54" t="s">
        <v>16</v>
      </c>
      <c r="C525" s="54" t="s">
        <v>29</v>
      </c>
    </row>
    <row r="526">
      <c r="A526" s="54" t="s">
        <v>835</v>
      </c>
      <c r="B526" s="54" t="s">
        <v>46</v>
      </c>
      <c r="C526" s="54" t="s">
        <v>949</v>
      </c>
    </row>
    <row r="527">
      <c r="A527" s="54" t="s">
        <v>836</v>
      </c>
      <c r="B527" s="54" t="s">
        <v>64</v>
      </c>
      <c r="C527" s="54" t="s">
        <v>980</v>
      </c>
    </row>
    <row r="528">
      <c r="A528" s="54" t="s">
        <v>838</v>
      </c>
      <c r="B528" s="54" t="s">
        <v>46</v>
      </c>
      <c r="C528" s="54" t="s">
        <v>949</v>
      </c>
    </row>
    <row r="529">
      <c r="A529" s="54" t="s">
        <v>839</v>
      </c>
      <c r="B529" s="54" t="s">
        <v>46</v>
      </c>
      <c r="C529" s="54" t="s">
        <v>949</v>
      </c>
    </row>
    <row r="530">
      <c r="A530" s="54" t="s">
        <v>841</v>
      </c>
      <c r="B530" s="54" t="s">
        <v>22</v>
      </c>
      <c r="C530" s="54" t="s">
        <v>952</v>
      </c>
    </row>
    <row r="531">
      <c r="A531" s="54" t="s">
        <v>842</v>
      </c>
      <c r="B531" s="54" t="s">
        <v>22</v>
      </c>
      <c r="C531" s="54" t="s">
        <v>988</v>
      </c>
    </row>
    <row r="532">
      <c r="A532" s="54" t="s">
        <v>843</v>
      </c>
      <c r="B532" s="54" t="s">
        <v>42</v>
      </c>
      <c r="C532" s="54" t="s">
        <v>947</v>
      </c>
    </row>
    <row r="533">
      <c r="A533" s="54" t="s">
        <v>845</v>
      </c>
      <c r="B533" s="54" t="s">
        <v>42</v>
      </c>
      <c r="C533" s="54" t="s">
        <v>965</v>
      </c>
    </row>
    <row r="534">
      <c r="A534" s="54" t="s">
        <v>847</v>
      </c>
      <c r="B534" s="54" t="s">
        <v>38</v>
      </c>
      <c r="C534" s="54" t="s">
        <v>1000</v>
      </c>
    </row>
    <row r="535">
      <c r="A535" s="54" t="s">
        <v>848</v>
      </c>
      <c r="B535" s="54" t="s">
        <v>72</v>
      </c>
      <c r="C535" s="54" t="s">
        <v>974</v>
      </c>
    </row>
    <row r="536">
      <c r="A536" s="54" t="s">
        <v>849</v>
      </c>
      <c r="B536" s="54" t="s">
        <v>111</v>
      </c>
      <c r="C536" s="54" t="s">
        <v>963</v>
      </c>
    </row>
    <row r="537">
      <c r="A537" s="54" t="s">
        <v>850</v>
      </c>
      <c r="B537" s="54" t="s">
        <v>56</v>
      </c>
      <c r="C537" s="54" t="s">
        <v>967</v>
      </c>
    </row>
    <row r="538">
      <c r="A538" s="54" t="s">
        <v>852</v>
      </c>
      <c r="B538" s="54" t="s">
        <v>46</v>
      </c>
      <c r="C538" s="54" t="s">
        <v>949</v>
      </c>
    </row>
    <row r="539">
      <c r="A539" s="54" t="s">
        <v>853</v>
      </c>
      <c r="B539" s="54" t="s">
        <v>111</v>
      </c>
      <c r="C539" s="54" t="s">
        <v>963</v>
      </c>
    </row>
    <row r="540">
      <c r="A540" s="54" t="s">
        <v>854</v>
      </c>
      <c r="B540" s="54" t="s">
        <v>16</v>
      </c>
      <c r="C540" s="54" t="s">
        <v>17</v>
      </c>
    </row>
    <row r="541">
      <c r="A541" s="54" t="s">
        <v>856</v>
      </c>
      <c r="B541" s="54" t="s">
        <v>64</v>
      </c>
      <c r="C541" s="54" t="s">
        <v>1007</v>
      </c>
    </row>
    <row r="542">
      <c r="A542" s="54" t="s">
        <v>858</v>
      </c>
      <c r="B542" s="54" t="s">
        <v>72</v>
      </c>
      <c r="C542" s="54" t="s">
        <v>957</v>
      </c>
    </row>
    <row r="543">
      <c r="A543" s="54" t="s">
        <v>859</v>
      </c>
      <c r="B543" s="54" t="s">
        <v>22</v>
      </c>
      <c r="C543" s="54" t="s">
        <v>953</v>
      </c>
    </row>
    <row r="544">
      <c r="A544" s="54" t="s">
        <v>860</v>
      </c>
      <c r="B544" s="54" t="s">
        <v>64</v>
      </c>
      <c r="C544" s="54" t="s">
        <v>954</v>
      </c>
    </row>
    <row r="545">
      <c r="A545" s="54" t="s">
        <v>862</v>
      </c>
      <c r="B545" s="54" t="s">
        <v>111</v>
      </c>
      <c r="C545" s="54" t="s">
        <v>963</v>
      </c>
    </row>
    <row r="546">
      <c r="A546" s="54" t="s">
        <v>863</v>
      </c>
      <c r="B546" s="54" t="s">
        <v>56</v>
      </c>
      <c r="C546" s="54" t="s">
        <v>951</v>
      </c>
    </row>
    <row r="547">
      <c r="A547" s="54" t="s">
        <v>864</v>
      </c>
      <c r="B547" s="54" t="s">
        <v>38</v>
      </c>
      <c r="C547" s="54" t="s">
        <v>959</v>
      </c>
    </row>
    <row r="548">
      <c r="A548" s="54" t="s">
        <v>865</v>
      </c>
      <c r="B548" s="54" t="s">
        <v>42</v>
      </c>
      <c r="C548" s="54" t="s">
        <v>947</v>
      </c>
    </row>
    <row r="549">
      <c r="A549" s="54" t="s">
        <v>867</v>
      </c>
      <c r="B549" s="54" t="s">
        <v>16</v>
      </c>
      <c r="C549" s="54" t="s">
        <v>1002</v>
      </c>
    </row>
    <row r="550">
      <c r="A550" s="54" t="s">
        <v>868</v>
      </c>
      <c r="B550" s="54" t="s">
        <v>22</v>
      </c>
      <c r="C550" s="54" t="s">
        <v>952</v>
      </c>
    </row>
    <row r="551">
      <c r="A551" s="54" t="s">
        <v>869</v>
      </c>
      <c r="B551" s="54" t="s">
        <v>22</v>
      </c>
      <c r="C551" s="54" t="s">
        <v>971</v>
      </c>
    </row>
    <row r="552">
      <c r="A552" s="54" t="s">
        <v>871</v>
      </c>
      <c r="B552" s="54" t="s">
        <v>46</v>
      </c>
      <c r="C552" s="54" t="s">
        <v>949</v>
      </c>
    </row>
    <row r="553">
      <c r="A553" s="54" t="s">
        <v>873</v>
      </c>
      <c r="B553" s="54" t="s">
        <v>56</v>
      </c>
      <c r="C553" s="54" t="s">
        <v>975</v>
      </c>
    </row>
    <row r="554">
      <c r="A554" s="54" t="s">
        <v>874</v>
      </c>
      <c r="B554" s="54" t="s">
        <v>38</v>
      </c>
      <c r="C554" s="54" t="s">
        <v>950</v>
      </c>
    </row>
    <row r="555">
      <c r="A555" s="54" t="s">
        <v>875</v>
      </c>
      <c r="B555" s="54" t="s">
        <v>22</v>
      </c>
      <c r="C555" s="54" t="s">
        <v>952</v>
      </c>
    </row>
    <row r="556">
      <c r="A556" s="54" t="s">
        <v>876</v>
      </c>
      <c r="B556" s="54" t="s">
        <v>22</v>
      </c>
      <c r="C556" s="54" t="s">
        <v>952</v>
      </c>
    </row>
    <row r="557">
      <c r="A557" s="54" t="s">
        <v>878</v>
      </c>
      <c r="B557" s="54" t="s">
        <v>16</v>
      </c>
      <c r="C557" s="54" t="s">
        <v>946</v>
      </c>
    </row>
    <row r="558">
      <c r="A558" s="54" t="s">
        <v>880</v>
      </c>
      <c r="B558" s="54" t="s">
        <v>72</v>
      </c>
      <c r="C558" s="54" t="s">
        <v>957</v>
      </c>
    </row>
    <row r="559">
      <c r="A559" s="54" t="s">
        <v>881</v>
      </c>
      <c r="B559" s="54" t="s">
        <v>56</v>
      </c>
      <c r="C559" s="54" t="s">
        <v>1001</v>
      </c>
    </row>
    <row r="560">
      <c r="A560" s="54" t="s">
        <v>882</v>
      </c>
      <c r="B560" s="54" t="s">
        <v>46</v>
      </c>
      <c r="C560" s="54" t="s">
        <v>985</v>
      </c>
    </row>
    <row r="561">
      <c r="A561" s="54" t="s">
        <v>883</v>
      </c>
      <c r="B561" s="54" t="s">
        <v>16</v>
      </c>
      <c r="C561" s="54" t="s">
        <v>17</v>
      </c>
    </row>
    <row r="562">
      <c r="A562" s="54" t="s">
        <v>885</v>
      </c>
      <c r="B562" s="54" t="s">
        <v>46</v>
      </c>
      <c r="C562" s="54" t="s">
        <v>985</v>
      </c>
    </row>
    <row r="563">
      <c r="A563" s="54" t="s">
        <v>887</v>
      </c>
      <c r="B563" s="54" t="s">
        <v>111</v>
      </c>
      <c r="C563" s="54" t="s">
        <v>963</v>
      </c>
    </row>
    <row r="564">
      <c r="A564" s="54" t="s">
        <v>889</v>
      </c>
      <c r="B564" s="54" t="s">
        <v>22</v>
      </c>
      <c r="C564" s="54" t="s">
        <v>952</v>
      </c>
    </row>
    <row r="565">
      <c r="A565" s="54" t="s">
        <v>891</v>
      </c>
      <c r="B565" s="54" t="s">
        <v>46</v>
      </c>
      <c r="C565" s="54" t="s">
        <v>958</v>
      </c>
    </row>
    <row r="566">
      <c r="A566" s="54" t="s">
        <v>892</v>
      </c>
      <c r="B566" s="54" t="s">
        <v>46</v>
      </c>
      <c r="C566" s="54" t="s">
        <v>948</v>
      </c>
    </row>
    <row r="567">
      <c r="A567" s="54" t="s">
        <v>893</v>
      </c>
      <c r="B567" s="54" t="s">
        <v>1012</v>
      </c>
      <c r="C567" s="54"/>
    </row>
    <row r="568">
      <c r="A568" s="54" t="s">
        <v>895</v>
      </c>
      <c r="B568" s="54" t="s">
        <v>22</v>
      </c>
      <c r="C568" s="54" t="s">
        <v>952</v>
      </c>
    </row>
    <row r="569">
      <c r="A569" s="54" t="s">
        <v>896</v>
      </c>
      <c r="B569" s="54" t="s">
        <v>46</v>
      </c>
      <c r="C569" s="54" t="s">
        <v>958</v>
      </c>
    </row>
    <row r="570">
      <c r="A570" s="54" t="s">
        <v>897</v>
      </c>
      <c r="B570" s="54" t="s">
        <v>16</v>
      </c>
      <c r="C570" s="54" t="s">
        <v>994</v>
      </c>
    </row>
    <row r="571">
      <c r="A571" s="54" t="s">
        <v>898</v>
      </c>
      <c r="B571" s="54" t="s">
        <v>22</v>
      </c>
      <c r="C571" s="54" t="s">
        <v>960</v>
      </c>
    </row>
    <row r="572">
      <c r="A572" s="54" t="s">
        <v>899</v>
      </c>
      <c r="B572" s="54" t="s">
        <v>22</v>
      </c>
      <c r="C572" s="54" t="s">
        <v>952</v>
      </c>
    </row>
    <row r="573">
      <c r="A573" s="54" t="s">
        <v>901</v>
      </c>
      <c r="B573" s="54" t="s">
        <v>42</v>
      </c>
      <c r="C573" s="54" t="s">
        <v>991</v>
      </c>
    </row>
    <row r="574">
      <c r="A574" s="54" t="s">
        <v>902</v>
      </c>
      <c r="B574" s="54" t="s">
        <v>46</v>
      </c>
      <c r="C574" s="54" t="s">
        <v>949</v>
      </c>
    </row>
    <row r="575">
      <c r="A575" s="54" t="s">
        <v>903</v>
      </c>
      <c r="B575" s="54" t="s">
        <v>22</v>
      </c>
      <c r="C575" s="54" t="s">
        <v>952</v>
      </c>
    </row>
    <row r="576">
      <c r="A576" s="54" t="s">
        <v>904</v>
      </c>
      <c r="B576" s="54" t="s">
        <v>16</v>
      </c>
      <c r="C576" s="54" t="s">
        <v>977</v>
      </c>
    </row>
    <row r="577">
      <c r="A577" s="54" t="s">
        <v>905</v>
      </c>
      <c r="B577" s="54" t="s">
        <v>46</v>
      </c>
      <c r="C577" s="54" t="s">
        <v>968</v>
      </c>
    </row>
    <row r="578">
      <c r="A578" s="54" t="s">
        <v>906</v>
      </c>
      <c r="B578" s="54" t="s">
        <v>16</v>
      </c>
      <c r="C578" s="54" t="s">
        <v>994</v>
      </c>
    </row>
    <row r="579">
      <c r="A579" s="54" t="s">
        <v>907</v>
      </c>
      <c r="B579" s="54" t="s">
        <v>72</v>
      </c>
      <c r="C579" s="54" t="s">
        <v>957</v>
      </c>
    </row>
    <row r="580">
      <c r="A580" s="54" t="s">
        <v>908</v>
      </c>
      <c r="B580" s="54" t="s">
        <v>22</v>
      </c>
      <c r="C580" s="54" t="s">
        <v>956</v>
      </c>
    </row>
    <row r="581">
      <c r="A581" s="54" t="s">
        <v>909</v>
      </c>
      <c r="B581" s="54" t="s">
        <v>16</v>
      </c>
      <c r="C581" s="54" t="s">
        <v>977</v>
      </c>
    </row>
    <row r="582">
      <c r="A582" s="54" t="s">
        <v>1070</v>
      </c>
      <c r="B582" s="54" t="s">
        <v>16</v>
      </c>
      <c r="C582" s="54" t="s">
        <v>946</v>
      </c>
    </row>
    <row r="583">
      <c r="A583" s="54" t="s">
        <v>912</v>
      </c>
      <c r="B583" s="54" t="s">
        <v>38</v>
      </c>
      <c r="C583" s="54" t="s">
        <v>950</v>
      </c>
    </row>
    <row r="584">
      <c r="A584" s="54" t="s">
        <v>914</v>
      </c>
      <c r="B584" s="54" t="s">
        <v>38</v>
      </c>
      <c r="C584" s="54" t="s">
        <v>950</v>
      </c>
    </row>
    <row r="585">
      <c r="A585" s="54" t="s">
        <v>915</v>
      </c>
      <c r="B585" s="54" t="s">
        <v>46</v>
      </c>
      <c r="C585" s="54" t="s">
        <v>968</v>
      </c>
    </row>
    <row r="586">
      <c r="A586" s="54" t="s">
        <v>916</v>
      </c>
      <c r="B586" s="54" t="s">
        <v>56</v>
      </c>
      <c r="C586" s="54" t="s">
        <v>1001</v>
      </c>
    </row>
    <row r="587">
      <c r="A587" s="54" t="s">
        <v>917</v>
      </c>
      <c r="B587" s="54" t="s">
        <v>46</v>
      </c>
      <c r="C587" s="54" t="s">
        <v>949</v>
      </c>
    </row>
    <row r="588">
      <c r="A588" s="54" t="s">
        <v>918</v>
      </c>
      <c r="B588" s="54" t="s">
        <v>56</v>
      </c>
      <c r="C588" s="54" t="s">
        <v>975</v>
      </c>
    </row>
    <row r="589">
      <c r="A589" s="54" t="s">
        <v>919</v>
      </c>
      <c r="B589" s="54" t="s">
        <v>56</v>
      </c>
      <c r="C589" s="54" t="s">
        <v>973</v>
      </c>
    </row>
    <row r="590">
      <c r="A590" s="54" t="s">
        <v>920</v>
      </c>
      <c r="B590" s="54" t="s">
        <v>22</v>
      </c>
      <c r="C590" s="54" t="s">
        <v>952</v>
      </c>
    </row>
    <row r="591">
      <c r="A591" s="54" t="s">
        <v>922</v>
      </c>
      <c r="B591" s="54" t="s">
        <v>22</v>
      </c>
      <c r="C591" s="54" t="s">
        <v>952</v>
      </c>
    </row>
    <row r="592">
      <c r="A592" s="54" t="s">
        <v>923</v>
      </c>
      <c r="B592" s="54" t="s">
        <v>22</v>
      </c>
      <c r="C592" s="54" t="s">
        <v>952</v>
      </c>
    </row>
    <row r="593">
      <c r="A593" s="54" t="s">
        <v>925</v>
      </c>
      <c r="B593" s="54" t="s">
        <v>38</v>
      </c>
      <c r="C593" s="54" t="s">
        <v>950</v>
      </c>
    </row>
    <row r="594">
      <c r="A594" s="54" t="s">
        <v>927</v>
      </c>
      <c r="B594" s="54" t="s">
        <v>46</v>
      </c>
      <c r="C594" s="54" t="s">
        <v>949</v>
      </c>
    </row>
    <row r="595">
      <c r="A595" s="54" t="s">
        <v>928</v>
      </c>
      <c r="B595" s="54" t="s">
        <v>38</v>
      </c>
      <c r="C595" s="54" t="s">
        <v>1000</v>
      </c>
    </row>
    <row r="596">
      <c r="A596" s="54" t="s">
        <v>930</v>
      </c>
      <c r="B596" s="54" t="s">
        <v>46</v>
      </c>
      <c r="C596" s="54" t="s">
        <v>968</v>
      </c>
    </row>
    <row r="597">
      <c r="A597" s="54" t="s">
        <v>931</v>
      </c>
      <c r="B597" s="54" t="s">
        <v>46</v>
      </c>
      <c r="C597" s="54" t="s">
        <v>949</v>
      </c>
    </row>
    <row r="598">
      <c r="A598" s="54" t="s">
        <v>932</v>
      </c>
      <c r="B598" s="54" t="s">
        <v>22</v>
      </c>
      <c r="C598" s="54" t="s">
        <v>953</v>
      </c>
    </row>
    <row r="599">
      <c r="A599" s="54" t="s">
        <v>934</v>
      </c>
      <c r="B599" s="54" t="s">
        <v>22</v>
      </c>
      <c r="C599" s="54" t="s">
        <v>952</v>
      </c>
    </row>
    <row r="600">
      <c r="A600" s="54" t="s">
        <v>935</v>
      </c>
      <c r="B600" s="54" t="s">
        <v>38</v>
      </c>
      <c r="C600" s="54" t="s">
        <v>1000</v>
      </c>
    </row>
    <row r="601">
      <c r="A601" s="54" t="s">
        <v>937</v>
      </c>
      <c r="B601" s="54" t="s">
        <v>38</v>
      </c>
      <c r="C601" s="54" t="s">
        <v>950</v>
      </c>
    </row>
    <row r="602">
      <c r="A602" s="54" t="s">
        <v>938</v>
      </c>
      <c r="B602" s="54" t="s">
        <v>46</v>
      </c>
      <c r="C602" s="54" t="s">
        <v>949</v>
      </c>
    </row>
    <row r="603">
      <c r="A603" s="54" t="s">
        <v>939</v>
      </c>
      <c r="B603" s="54" t="s">
        <v>56</v>
      </c>
      <c r="C603" s="54" t="s">
        <v>967</v>
      </c>
    </row>
    <row r="604">
      <c r="A604" s="54" t="s">
        <v>940</v>
      </c>
      <c r="B604" s="54" t="s">
        <v>46</v>
      </c>
      <c r="C604" s="54" t="s">
        <v>949</v>
      </c>
    </row>
    <row r="605">
      <c r="A605" s="54" t="s">
        <v>941</v>
      </c>
      <c r="B605" s="54" t="s">
        <v>22</v>
      </c>
      <c r="C605" s="54" t="s">
        <v>952</v>
      </c>
    </row>
    <row r="606">
      <c r="A606" s="54" t="s">
        <v>942</v>
      </c>
      <c r="B606" s="54" t="s">
        <v>46</v>
      </c>
      <c r="C606" s="54" t="s">
        <v>968</v>
      </c>
    </row>
    <row r="607">
      <c r="A607" s="54" t="s">
        <v>943</v>
      </c>
      <c r="B607" s="54" t="s">
        <v>38</v>
      </c>
      <c r="C607" s="54" t="s">
        <v>950</v>
      </c>
    </row>
    <row r="608">
      <c r="A608" s="54" t="s">
        <v>944</v>
      </c>
      <c r="B608" s="54" t="s">
        <v>56</v>
      </c>
      <c r="C608" s="54" t="s">
        <v>978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0.75"/>
    <col customWidth="1" min="3" max="3" width="31.0"/>
  </cols>
  <sheetData>
    <row r="1">
      <c r="A1" s="66" t="s">
        <v>1071</v>
      </c>
      <c r="B1" s="66" t="s">
        <v>1072</v>
      </c>
      <c r="C1" s="66" t="s">
        <v>1073</v>
      </c>
    </row>
    <row r="2">
      <c r="A2" s="67" t="s">
        <v>1074</v>
      </c>
      <c r="B2" s="68">
        <v>0.1</v>
      </c>
      <c r="C2" s="67" t="s">
        <v>1075</v>
      </c>
    </row>
    <row r="3">
      <c r="A3" s="67" t="s">
        <v>1076</v>
      </c>
      <c r="B3" s="68">
        <v>0.2</v>
      </c>
      <c r="C3" s="67" t="s">
        <v>1077</v>
      </c>
    </row>
    <row r="4">
      <c r="A4" s="67" t="s">
        <v>1078</v>
      </c>
      <c r="B4" s="68">
        <v>0.3</v>
      </c>
      <c r="C4" s="67" t="s">
        <v>1079</v>
      </c>
    </row>
    <row r="5">
      <c r="A5" s="67" t="s">
        <v>1080</v>
      </c>
      <c r="B5" s="68">
        <v>0.15</v>
      </c>
      <c r="C5" s="67" t="s">
        <v>1081</v>
      </c>
    </row>
    <row r="6">
      <c r="A6" s="67" t="s">
        <v>1082</v>
      </c>
      <c r="B6" s="68">
        <v>0.18</v>
      </c>
      <c r="C6" s="67" t="s">
        <v>1083</v>
      </c>
    </row>
    <row r="7">
      <c r="A7" s="67" t="s">
        <v>1084</v>
      </c>
      <c r="B7" s="68">
        <v>0.05</v>
      </c>
      <c r="C7" s="67" t="s">
        <v>1085</v>
      </c>
    </row>
    <row r="8">
      <c r="A8" s="67" t="s">
        <v>1086</v>
      </c>
      <c r="B8" s="68">
        <v>0.01</v>
      </c>
      <c r="C8" s="67" t="s">
        <v>1087</v>
      </c>
    </row>
    <row r="9">
      <c r="A9" s="67" t="s">
        <v>1088</v>
      </c>
      <c r="B9" s="68">
        <v>0.01</v>
      </c>
      <c r="C9" s="67" t="s">
        <v>1089</v>
      </c>
    </row>
  </sheetData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2" max="2" width="23.75"/>
    <col customWidth="1" min="3" max="3" width="24.5"/>
  </cols>
  <sheetData>
    <row r="1">
      <c r="A1" s="69"/>
      <c r="B1" s="70" t="s">
        <v>1090</v>
      </c>
      <c r="C1" s="70" t="s">
        <v>1091</v>
      </c>
    </row>
    <row r="2">
      <c r="A2" s="71" t="s">
        <v>1092</v>
      </c>
      <c r="B2" s="72" t="s">
        <v>1093</v>
      </c>
      <c r="C2" s="72" t="s">
        <v>1094</v>
      </c>
    </row>
    <row r="3">
      <c r="A3" s="71" t="s">
        <v>1095</v>
      </c>
      <c r="B3" s="72" t="s">
        <v>1096</v>
      </c>
      <c r="C3" s="72" t="s">
        <v>1097</v>
      </c>
    </row>
    <row r="4">
      <c r="A4" s="59"/>
      <c r="B4" s="59"/>
      <c r="C4" s="59"/>
    </row>
    <row r="5">
      <c r="A5" s="59"/>
      <c r="B5" s="59"/>
      <c r="C5" s="59"/>
    </row>
    <row r="6">
      <c r="A6" s="59"/>
      <c r="B6" s="59"/>
      <c r="C6" s="59"/>
    </row>
    <row r="7">
      <c r="A7" s="59"/>
      <c r="B7" s="59"/>
      <c r="C7" s="59"/>
    </row>
    <row r="8">
      <c r="A8" s="59"/>
      <c r="B8" s="59"/>
      <c r="C8" s="59"/>
    </row>
  </sheetData>
  <drawing r:id="rId1"/>
</worksheet>
</file>